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4 INCISO G NOMINAS DEL SUJETO OBLIGADO ENERO 2022\"/>
    </mc:Choice>
  </mc:AlternateContent>
  <bookViews>
    <workbookView xWindow="0" yWindow="0" windowWidth="28800" windowHeight="118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2" sheetId="130" r:id="rId7"/>
  </sheets>
  <externalReferences>
    <externalReference r:id="rId8"/>
  </externalReferences>
  <definedNames>
    <definedName name="_45">#REF!</definedName>
    <definedName name="_xlnm.Print_Area" localSheetId="5">JUBILADOS!$C$3:$J$29</definedName>
    <definedName name="_xlnm.Print_Area" localSheetId="2">PERMANENTES!$B$2:$N$34</definedName>
    <definedName name="_xlnm.Print_Area" localSheetId="1">REGIDORES!$A$3:$M$35</definedName>
    <definedName name="_xlnm.Print_Area" localSheetId="4">'SEG.PUB.MPAL Y PROTECCION CIVIL'!$C$2:$M$48</definedName>
    <definedName name="_xlnm.Print_Area" localSheetId="3">SUPERNUMERARIO!$B$127:$N$180</definedName>
    <definedName name="CREDITO">#REF!</definedName>
    <definedName name="Credito1">#REF!</definedName>
    <definedName name="isr">#REF!</definedName>
    <definedName name="SUBSIDIO">'Determinacion ISR 2022'!$P$17:$Q$27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2022'!$H$17:$J$27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H41" i="124" l="1"/>
  <c r="H72" i="124" l="1"/>
  <c r="I64" i="124"/>
  <c r="K64" i="124" s="1"/>
  <c r="I114" i="123"/>
  <c r="I16" i="120"/>
  <c r="I37" i="124"/>
  <c r="K37" i="124" s="1"/>
  <c r="I54" i="123"/>
  <c r="J37" i="124" l="1"/>
  <c r="L64" i="124"/>
  <c r="J64" i="124"/>
  <c r="J114" i="123"/>
  <c r="K114" i="123"/>
  <c r="K16" i="120"/>
  <c r="M16" i="120" s="1"/>
  <c r="L37" i="124"/>
  <c r="J54" i="123"/>
  <c r="K54" i="123"/>
  <c r="I63" i="124"/>
  <c r="I65" i="124"/>
  <c r="K65" i="124" s="1"/>
  <c r="I66" i="124"/>
  <c r="K66" i="124" s="1"/>
  <c r="I67" i="124"/>
  <c r="K67" i="124" s="1"/>
  <c r="I68" i="124"/>
  <c r="I69" i="124"/>
  <c r="K69" i="124" s="1"/>
  <c r="I62" i="124"/>
  <c r="I72" i="124" s="1"/>
  <c r="I40" i="124"/>
  <c r="I39" i="124"/>
  <c r="K39" i="124" s="1"/>
  <c r="I13" i="124"/>
  <c r="I14" i="124"/>
  <c r="K14" i="124" s="1"/>
  <c r="I15" i="124"/>
  <c r="K15" i="124" s="1"/>
  <c r="I16" i="124"/>
  <c r="K16" i="124" s="1"/>
  <c r="I17" i="124"/>
  <c r="K17" i="124" s="1"/>
  <c r="I18" i="124"/>
  <c r="K18" i="124" s="1"/>
  <c r="I19" i="124"/>
  <c r="K19" i="124" s="1"/>
  <c r="I20" i="124"/>
  <c r="K20" i="124" s="1"/>
  <c r="I21" i="124"/>
  <c r="I22" i="124"/>
  <c r="K22" i="124" s="1"/>
  <c r="I24" i="124"/>
  <c r="K24" i="124" s="1"/>
  <c r="I25" i="124"/>
  <c r="K25" i="124" s="1"/>
  <c r="I26" i="124"/>
  <c r="K26" i="124" s="1"/>
  <c r="I27" i="124"/>
  <c r="K27" i="124" s="1"/>
  <c r="I28" i="124"/>
  <c r="K28" i="124" s="1"/>
  <c r="I29" i="124"/>
  <c r="K29" i="124" s="1"/>
  <c r="I30" i="124"/>
  <c r="I31" i="124"/>
  <c r="K31" i="124" s="1"/>
  <c r="I32" i="124"/>
  <c r="K32" i="124" s="1"/>
  <c r="I33" i="124"/>
  <c r="K33" i="124" s="1"/>
  <c r="I34" i="124"/>
  <c r="K34" i="124" s="1"/>
  <c r="I35" i="124"/>
  <c r="K35" i="124" s="1"/>
  <c r="I36" i="124"/>
  <c r="K36" i="124" s="1"/>
  <c r="I11" i="124"/>
  <c r="I12" i="123"/>
  <c r="J12" i="123" s="1"/>
  <c r="J62" i="123"/>
  <c r="I168" i="123"/>
  <c r="I166" i="123"/>
  <c r="J166" i="123" s="1"/>
  <c r="I165" i="123"/>
  <c r="I163" i="123"/>
  <c r="I161" i="123"/>
  <c r="J161" i="123" s="1"/>
  <c r="I159" i="123"/>
  <c r="I156" i="123"/>
  <c r="I153" i="123"/>
  <c r="I152" i="123"/>
  <c r="I150" i="123"/>
  <c r="I149" i="123"/>
  <c r="I148" i="123"/>
  <c r="I147" i="123"/>
  <c r="I146" i="123"/>
  <c r="I145" i="123"/>
  <c r="I144" i="123"/>
  <c r="I143" i="123"/>
  <c r="I141" i="123"/>
  <c r="I140" i="123"/>
  <c r="I139" i="123"/>
  <c r="I138" i="123"/>
  <c r="I136" i="123"/>
  <c r="I119" i="123"/>
  <c r="I117" i="123"/>
  <c r="J117" i="123" s="1"/>
  <c r="I116" i="123"/>
  <c r="I112" i="123"/>
  <c r="K112" i="123" s="1"/>
  <c r="I111" i="123"/>
  <c r="I109" i="123"/>
  <c r="I108" i="123"/>
  <c r="J108" i="123" s="1"/>
  <c r="I107" i="123"/>
  <c r="I100" i="123"/>
  <c r="I98" i="123"/>
  <c r="I94" i="123"/>
  <c r="I77" i="123"/>
  <c r="I78" i="123"/>
  <c r="I79" i="123"/>
  <c r="I80" i="123"/>
  <c r="I81" i="123"/>
  <c r="I76" i="123"/>
  <c r="I75" i="123"/>
  <c r="I74" i="123"/>
  <c r="I73" i="123"/>
  <c r="I71" i="123"/>
  <c r="I70" i="123"/>
  <c r="I69" i="123"/>
  <c r="I68" i="123"/>
  <c r="I67" i="123"/>
  <c r="I66" i="123"/>
  <c r="I65" i="123"/>
  <c r="I64" i="123"/>
  <c r="I62" i="123"/>
  <c r="I60" i="123"/>
  <c r="J60" i="123" s="1"/>
  <c r="I59" i="123"/>
  <c r="I57" i="123"/>
  <c r="I56" i="123"/>
  <c r="I53" i="123"/>
  <c r="I52" i="123"/>
  <c r="I51" i="123"/>
  <c r="I38" i="123"/>
  <c r="I36" i="123"/>
  <c r="I34" i="123"/>
  <c r="J34" i="123" s="1"/>
  <c r="I33" i="123"/>
  <c r="I29" i="123"/>
  <c r="J29" i="123" s="1"/>
  <c r="I27" i="123"/>
  <c r="I24" i="123"/>
  <c r="I23" i="123"/>
  <c r="I22" i="123"/>
  <c r="I21" i="123"/>
  <c r="I20" i="123"/>
  <c r="I18" i="123"/>
  <c r="J18" i="123" s="1"/>
  <c r="I16" i="123"/>
  <c r="I13" i="123"/>
  <c r="I14" i="123"/>
  <c r="I12" i="120"/>
  <c r="I107" i="120"/>
  <c r="I106" i="120"/>
  <c r="I104" i="120"/>
  <c r="I103" i="120"/>
  <c r="I102" i="120"/>
  <c r="I101" i="120"/>
  <c r="I100" i="120"/>
  <c r="I99" i="120"/>
  <c r="I98" i="120"/>
  <c r="I87" i="120"/>
  <c r="I85" i="120"/>
  <c r="I80" i="120"/>
  <c r="I79" i="120"/>
  <c r="I77" i="120"/>
  <c r="I76" i="120"/>
  <c r="I75" i="120"/>
  <c r="I72" i="120"/>
  <c r="I74" i="120"/>
  <c r="I73" i="120"/>
  <c r="I61" i="120"/>
  <c r="I59" i="120"/>
  <c r="I58" i="120"/>
  <c r="I56" i="120"/>
  <c r="I55" i="120"/>
  <c r="I53" i="120"/>
  <c r="I52" i="120"/>
  <c r="I51" i="120"/>
  <c r="I50" i="120"/>
  <c r="I48" i="120"/>
  <c r="I34" i="120"/>
  <c r="I32" i="120"/>
  <c r="I31" i="120"/>
  <c r="I30" i="120"/>
  <c r="I28" i="120"/>
  <c r="I26" i="120"/>
  <c r="I24" i="120"/>
  <c r="K24" i="120" s="1"/>
  <c r="I23" i="120"/>
  <c r="I21" i="120"/>
  <c r="I20" i="120"/>
  <c r="I19" i="120"/>
  <c r="I17" i="120"/>
  <c r="I14" i="120"/>
  <c r="G13" i="126"/>
  <c r="G14" i="126"/>
  <c r="G15" i="126"/>
  <c r="G16" i="126"/>
  <c r="G17" i="126"/>
  <c r="G18" i="126"/>
  <c r="G19" i="126"/>
  <c r="G20" i="126"/>
  <c r="G21" i="126"/>
  <c r="G12" i="126"/>
  <c r="K13" i="124"/>
  <c r="K21" i="124"/>
  <c r="K30" i="124"/>
  <c r="K68" i="124"/>
  <c r="J163" i="123"/>
  <c r="J156" i="123"/>
  <c r="K111" i="123"/>
  <c r="I72" i="123"/>
  <c r="I17" i="123"/>
  <c r="I41" i="124" l="1"/>
  <c r="M114" i="123"/>
  <c r="M54" i="123"/>
  <c r="K40" i="124"/>
  <c r="I13" i="120"/>
  <c r="K20" i="126"/>
  <c r="K19" i="126"/>
  <c r="I84" i="123" l="1"/>
  <c r="L84" i="123"/>
  <c r="H84" i="123"/>
  <c r="M53" i="123"/>
  <c r="I18" i="125" l="1"/>
  <c r="I110" i="120"/>
  <c r="H110" i="120"/>
  <c r="I35" i="120"/>
  <c r="L35" i="120"/>
  <c r="H35" i="120"/>
  <c r="K28" i="120"/>
  <c r="J28" i="120"/>
  <c r="M28" i="120" l="1"/>
  <c r="H62" i="120"/>
  <c r="K48" i="120"/>
  <c r="I62" i="120"/>
  <c r="H48" i="124"/>
  <c r="L41" i="123" l="1"/>
  <c r="H41" i="123"/>
  <c r="K109" i="123"/>
  <c r="K34" i="123"/>
  <c r="M34" i="123" s="1"/>
  <c r="J109" i="123" l="1"/>
  <c r="M109" i="123" s="1"/>
  <c r="D91" i="120"/>
  <c r="I122" i="123" l="1"/>
  <c r="K21" i="123"/>
  <c r="J21" i="123"/>
  <c r="H122" i="123"/>
  <c r="K80" i="123"/>
  <c r="J80" i="123"/>
  <c r="K108" i="123"/>
  <c r="M108" i="123" s="1"/>
  <c r="M80" i="123" l="1"/>
  <c r="M21" i="123"/>
  <c r="J36" i="124"/>
  <c r="J24" i="124"/>
  <c r="J25" i="124"/>
  <c r="J26" i="124"/>
  <c r="J27" i="124"/>
  <c r="L28" i="124"/>
  <c r="L29" i="124"/>
  <c r="L30" i="124"/>
  <c r="L31" i="124"/>
  <c r="J32" i="124"/>
  <c r="J33" i="124"/>
  <c r="J34" i="124"/>
  <c r="J35" i="124"/>
  <c r="L35" i="124" s="1"/>
  <c r="L24" i="124" l="1"/>
  <c r="L36" i="124"/>
  <c r="L32" i="124"/>
  <c r="L27" i="124"/>
  <c r="L25" i="124"/>
  <c r="L34" i="124"/>
  <c r="L26" i="124"/>
  <c r="L33" i="124"/>
  <c r="H183" i="123"/>
  <c r="K117" i="123"/>
  <c r="M117" i="123" s="1"/>
  <c r="K116" i="123"/>
  <c r="J116" i="123"/>
  <c r="K96" i="123"/>
  <c r="M96" i="123" s="1"/>
  <c r="K149" i="123"/>
  <c r="M116" i="123" l="1"/>
  <c r="H172" i="123"/>
  <c r="J149" i="123"/>
  <c r="M149" i="123" s="1"/>
  <c r="J150" i="123"/>
  <c r="K150" i="123"/>
  <c r="J148" i="123"/>
  <c r="K148" i="123"/>
  <c r="M150" i="123" l="1"/>
  <c r="M148" i="123"/>
  <c r="H187" i="123" l="1"/>
  <c r="L183" i="123"/>
  <c r="L122" i="123"/>
  <c r="J119" i="123"/>
  <c r="K119" i="123"/>
  <c r="K62" i="123"/>
  <c r="M62" i="123" s="1"/>
  <c r="K60" i="123"/>
  <c r="M60" i="123" s="1"/>
  <c r="K59" i="123"/>
  <c r="J59" i="123"/>
  <c r="K57" i="123"/>
  <c r="J57" i="123"/>
  <c r="K56" i="123"/>
  <c r="J56" i="123"/>
  <c r="K52" i="123"/>
  <c r="J52" i="123"/>
  <c r="K51" i="123"/>
  <c r="J51" i="123"/>
  <c r="I88" i="120"/>
  <c r="H88" i="120"/>
  <c r="I125" i="120"/>
  <c r="L125" i="120"/>
  <c r="H125" i="120"/>
  <c r="L88" i="120"/>
  <c r="I142" i="123"/>
  <c r="K140" i="123"/>
  <c r="K139" i="123"/>
  <c r="K156" i="123"/>
  <c r="M156" i="123" s="1"/>
  <c r="J40" i="124"/>
  <c r="J39" i="124"/>
  <c r="K87" i="120"/>
  <c r="J87" i="120"/>
  <c r="K79" i="120"/>
  <c r="J79" i="120"/>
  <c r="J81" i="120"/>
  <c r="K81" i="120"/>
  <c r="J82" i="120"/>
  <c r="K82" i="120"/>
  <c r="J83" i="120"/>
  <c r="K83" i="120"/>
  <c r="J85" i="120"/>
  <c r="K85" i="120"/>
  <c r="K61" i="120"/>
  <c r="J61" i="120"/>
  <c r="K20" i="123"/>
  <c r="J20" i="123"/>
  <c r="D39" i="120"/>
  <c r="H129" i="120" l="1"/>
  <c r="M87" i="120"/>
  <c r="M83" i="120"/>
  <c r="M81" i="120"/>
  <c r="M119" i="123"/>
  <c r="M59" i="123"/>
  <c r="M52" i="123"/>
  <c r="M57" i="123"/>
  <c r="M56" i="123"/>
  <c r="M51" i="123"/>
  <c r="M79" i="120"/>
  <c r="J147" i="123"/>
  <c r="K147" i="123"/>
  <c r="J146" i="123"/>
  <c r="K146" i="123"/>
  <c r="J143" i="123"/>
  <c r="K143" i="123"/>
  <c r="J142" i="123"/>
  <c r="K142" i="123"/>
  <c r="J140" i="123"/>
  <c r="M140" i="123" s="1"/>
  <c r="J139" i="123"/>
  <c r="M139" i="123" s="1"/>
  <c r="J138" i="123"/>
  <c r="K138" i="123"/>
  <c r="L39" i="124"/>
  <c r="L40" i="124"/>
  <c r="M85" i="120"/>
  <c r="M82" i="120"/>
  <c r="M61" i="120"/>
  <c r="M20" i="123"/>
  <c r="M138" i="123" l="1"/>
  <c r="M142" i="123"/>
  <c r="M146" i="123"/>
  <c r="M143" i="123"/>
  <c r="M147" i="123"/>
  <c r="K144" i="123" l="1"/>
  <c r="J144" i="123"/>
  <c r="K71" i="123"/>
  <c r="J71" i="123"/>
  <c r="K70" i="123"/>
  <c r="J70" i="123"/>
  <c r="K79" i="123"/>
  <c r="J79" i="123"/>
  <c r="K76" i="123"/>
  <c r="J76" i="123"/>
  <c r="K66" i="123"/>
  <c r="J66" i="123"/>
  <c r="K77" i="123"/>
  <c r="J77" i="123"/>
  <c r="K65" i="123"/>
  <c r="J65" i="123"/>
  <c r="K68" i="123"/>
  <c r="J68" i="123"/>
  <c r="K73" i="120"/>
  <c r="J73" i="120"/>
  <c r="J112" i="123"/>
  <c r="J111" i="123"/>
  <c r="K75" i="123"/>
  <c r="J75" i="123"/>
  <c r="K64" i="123"/>
  <c r="J64" i="123"/>
  <c r="J102" i="120"/>
  <c r="J100" i="120"/>
  <c r="K168" i="123"/>
  <c r="J168" i="123"/>
  <c r="K165" i="123"/>
  <c r="J165" i="123"/>
  <c r="K166" i="123"/>
  <c r="M166" i="123" s="1"/>
  <c r="J141" i="123" l="1"/>
  <c r="M66" i="123"/>
  <c r="M68" i="123"/>
  <c r="M76" i="123"/>
  <c r="M70" i="123"/>
  <c r="M144" i="123"/>
  <c r="M111" i="123"/>
  <c r="M75" i="123"/>
  <c r="M65" i="123"/>
  <c r="M112" i="123"/>
  <c r="M71" i="123"/>
  <c r="K141" i="123"/>
  <c r="M168" i="123"/>
  <c r="M77" i="123"/>
  <c r="J13" i="124"/>
  <c r="L13" i="124" s="1"/>
  <c r="M79" i="123"/>
  <c r="M73" i="120"/>
  <c r="M64" i="123"/>
  <c r="M165" i="123"/>
  <c r="K32" i="120"/>
  <c r="J32" i="120"/>
  <c r="K62" i="124"/>
  <c r="K63" i="124"/>
  <c r="L63" i="124" s="1"/>
  <c r="J62" i="124"/>
  <c r="J63" i="124"/>
  <c r="L69" i="124"/>
  <c r="K98" i="123"/>
  <c r="J98" i="123"/>
  <c r="K94" i="123"/>
  <c r="J94" i="123"/>
  <c r="K12" i="123"/>
  <c r="K163" i="123"/>
  <c r="M163" i="123" s="1"/>
  <c r="K152" i="123"/>
  <c r="J152" i="123"/>
  <c r="K23" i="120"/>
  <c r="J23" i="120"/>
  <c r="K55" i="120"/>
  <c r="J55" i="120"/>
  <c r="J36" i="123"/>
  <c r="K36" i="123"/>
  <c r="K171" i="123"/>
  <c r="K170" i="123"/>
  <c r="J170" i="123"/>
  <c r="K161" i="123"/>
  <c r="M161" i="123" s="1"/>
  <c r="K34" i="120"/>
  <c r="J34" i="120"/>
  <c r="K107" i="123"/>
  <c r="J107" i="123"/>
  <c r="K159" i="123"/>
  <c r="J159" i="123"/>
  <c r="K100" i="123"/>
  <c r="J100" i="123"/>
  <c r="J58" i="120"/>
  <c r="K58" i="120"/>
  <c r="K29" i="123"/>
  <c r="M29" i="123" s="1"/>
  <c r="K24" i="123"/>
  <c r="J24" i="123"/>
  <c r="K23" i="123"/>
  <c r="J23" i="123"/>
  <c r="K22" i="123"/>
  <c r="J22" i="123"/>
  <c r="K17" i="123"/>
  <c r="M17" i="123" s="1"/>
  <c r="K18" i="123"/>
  <c r="M18" i="123" s="1"/>
  <c r="K17" i="120"/>
  <c r="J17" i="120"/>
  <c r="L62" i="124" l="1"/>
  <c r="K72" i="124"/>
  <c r="M17" i="120"/>
  <c r="M34" i="120"/>
  <c r="M32" i="120"/>
  <c r="M23" i="120"/>
  <c r="M141" i="123"/>
  <c r="M171" i="123"/>
  <c r="M12" i="123"/>
  <c r="M98" i="123"/>
  <c r="M152" i="123"/>
  <c r="M94" i="123"/>
  <c r="J69" i="124"/>
  <c r="M55" i="120"/>
  <c r="M36" i="123"/>
  <c r="M170" i="123"/>
  <c r="M107" i="123"/>
  <c r="M100" i="123"/>
  <c r="M159" i="123"/>
  <c r="M58" i="120"/>
  <c r="M24" i="123"/>
  <c r="M23" i="123"/>
  <c r="M22" i="123"/>
  <c r="D54" i="124" l="1"/>
  <c r="L61" i="120" l="1"/>
  <c r="I111" i="120"/>
  <c r="L111" i="120"/>
  <c r="H111" i="120"/>
  <c r="L110" i="120" l="1"/>
  <c r="L62" i="120"/>
  <c r="I113" i="120"/>
  <c r="H113" i="120"/>
  <c r="J24" i="120"/>
  <c r="M24" i="120" s="1"/>
  <c r="D5" i="123" l="1"/>
  <c r="K16" i="126" l="1"/>
  <c r="K13" i="120" l="1"/>
  <c r="K14" i="120"/>
  <c r="J18" i="124" l="1"/>
  <c r="J19" i="124"/>
  <c r="J20" i="124"/>
  <c r="J21" i="124"/>
  <c r="L21" i="124" l="1"/>
  <c r="L18" i="124"/>
  <c r="L20" i="124"/>
  <c r="L19" i="124"/>
  <c r="K155" i="123"/>
  <c r="M155" i="123" s="1"/>
  <c r="L15" i="124" l="1"/>
  <c r="I19" i="125" l="1"/>
  <c r="K102" i="120" l="1"/>
  <c r="J48" i="120" l="1"/>
  <c r="M48" i="120" l="1"/>
  <c r="K21" i="126" l="1"/>
  <c r="L21" i="126" s="1"/>
  <c r="I21" i="126" l="1"/>
  <c r="K136" i="123" l="1"/>
  <c r="J136" i="123"/>
  <c r="K122" i="123"/>
  <c r="J122" i="123"/>
  <c r="J67" i="123"/>
  <c r="K67" i="123"/>
  <c r="J73" i="123"/>
  <c r="K73" i="123"/>
  <c r="J74" i="123"/>
  <c r="K74" i="123"/>
  <c r="J78" i="123"/>
  <c r="K78" i="123"/>
  <c r="K38" i="123"/>
  <c r="J38" i="123"/>
  <c r="K33" i="123"/>
  <c r="J33" i="123"/>
  <c r="K27" i="123"/>
  <c r="J27" i="123"/>
  <c r="K16" i="123"/>
  <c r="J16" i="123"/>
  <c r="J14" i="123"/>
  <c r="K14" i="123"/>
  <c r="K153" i="123"/>
  <c r="J153" i="123"/>
  <c r="K107" i="120"/>
  <c r="K106" i="120"/>
  <c r="K99" i="120"/>
  <c r="K100" i="120"/>
  <c r="K101" i="120"/>
  <c r="K103" i="120"/>
  <c r="K104" i="120"/>
  <c r="K80" i="120"/>
  <c r="K77" i="120"/>
  <c r="K76" i="120"/>
  <c r="K75" i="120"/>
  <c r="K74" i="120"/>
  <c r="K72" i="120"/>
  <c r="K59" i="120"/>
  <c r="K56" i="120"/>
  <c r="K53" i="120"/>
  <c r="K52" i="120"/>
  <c r="K51" i="120"/>
  <c r="K50" i="120"/>
  <c r="K31" i="120"/>
  <c r="K30" i="120"/>
  <c r="K26" i="120"/>
  <c r="K21" i="120"/>
  <c r="K20" i="120"/>
  <c r="K19" i="120"/>
  <c r="K12" i="120"/>
  <c r="J103" i="120"/>
  <c r="J104" i="120"/>
  <c r="J101" i="120"/>
  <c r="J99" i="120"/>
  <c r="J98" i="120"/>
  <c r="J74" i="120"/>
  <c r="J75" i="120"/>
  <c r="J76" i="120"/>
  <c r="J77" i="120"/>
  <c r="J31" i="120"/>
  <c r="M31" i="120" l="1"/>
  <c r="K88" i="120"/>
  <c r="K35" i="120"/>
  <c r="K62" i="120"/>
  <c r="M27" i="123"/>
  <c r="M153" i="123"/>
  <c r="M78" i="123"/>
  <c r="M74" i="123"/>
  <c r="M67" i="123"/>
  <c r="M33" i="123"/>
  <c r="M73" i="123"/>
  <c r="K132" i="120" l="1"/>
  <c r="M122" i="123"/>
  <c r="I17" i="125"/>
  <c r="I16" i="125"/>
  <c r="I15" i="125"/>
  <c r="I14" i="125"/>
  <c r="J66" i="124" l="1"/>
  <c r="J65" i="124"/>
  <c r="J17" i="124"/>
  <c r="J14" i="124"/>
  <c r="L14" i="124" s="1"/>
  <c r="L17" i="124" l="1"/>
  <c r="J106" i="120"/>
  <c r="K98" i="120"/>
  <c r="J80" i="120"/>
  <c r="J72" i="120"/>
  <c r="J56" i="120"/>
  <c r="J53" i="120"/>
  <c r="J52" i="120"/>
  <c r="J51" i="120"/>
  <c r="J50" i="120"/>
  <c r="J30" i="120"/>
  <c r="M30" i="120" s="1"/>
  <c r="J26" i="120"/>
  <c r="M26" i="120" s="1"/>
  <c r="J21" i="120"/>
  <c r="J20" i="120"/>
  <c r="M20" i="120" s="1"/>
  <c r="J19" i="120"/>
  <c r="M19" i="120" s="1"/>
  <c r="J14" i="120"/>
  <c r="M14" i="120" s="1"/>
  <c r="J12" i="120"/>
  <c r="J107" i="120"/>
  <c r="J59" i="120"/>
  <c r="C12" i="130"/>
  <c r="K125" i="120" l="1"/>
  <c r="M134" i="120" s="1"/>
  <c r="K110" i="120"/>
  <c r="J88" i="120"/>
  <c r="M21" i="120"/>
  <c r="J35" i="120"/>
  <c r="J110" i="120"/>
  <c r="M12" i="120"/>
  <c r="J125" i="120"/>
  <c r="J62" i="120"/>
  <c r="K111" i="120"/>
  <c r="J111" i="120"/>
  <c r="C15" i="130"/>
  <c r="M35" i="120" l="1"/>
  <c r="J135" i="120"/>
  <c r="J113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I48" i="124" l="1"/>
  <c r="I12" i="125"/>
  <c r="I21" i="125" s="1"/>
  <c r="I13" i="125"/>
  <c r="G21" i="125"/>
  <c r="H21" i="125"/>
  <c r="L65" i="124"/>
  <c r="L66" i="124"/>
  <c r="I41" i="123"/>
  <c r="M14" i="123"/>
  <c r="M16" i="123"/>
  <c r="M32" i="123"/>
  <c r="L172" i="123"/>
  <c r="H174" i="123"/>
  <c r="M50" i="120"/>
  <c r="M51" i="120"/>
  <c r="M52" i="120"/>
  <c r="M53" i="120"/>
  <c r="M56" i="120"/>
  <c r="M59" i="120"/>
  <c r="M72" i="120"/>
  <c r="M74" i="120"/>
  <c r="M75" i="120"/>
  <c r="M76" i="120"/>
  <c r="M77" i="120"/>
  <c r="M80" i="120"/>
  <c r="M98" i="120"/>
  <c r="M99" i="120"/>
  <c r="M100" i="120"/>
  <c r="M101" i="120"/>
  <c r="M102" i="120"/>
  <c r="M103" i="120"/>
  <c r="M104" i="120"/>
  <c r="M106" i="120"/>
  <c r="M107" i="120"/>
  <c r="K12" i="126"/>
  <c r="K13" i="126"/>
  <c r="K14" i="126"/>
  <c r="K15" i="126"/>
  <c r="K17" i="126"/>
  <c r="K18" i="126"/>
  <c r="F23" i="126"/>
  <c r="H23" i="126"/>
  <c r="J23" i="126"/>
  <c r="M88" i="120" l="1"/>
  <c r="M110" i="120"/>
  <c r="M142" i="120"/>
  <c r="M62" i="120"/>
  <c r="M124" i="120"/>
  <c r="M125" i="120"/>
  <c r="N124" i="120"/>
  <c r="M112" i="120"/>
  <c r="I183" i="123"/>
  <c r="J13" i="123"/>
  <c r="J41" i="123" s="1"/>
  <c r="M111" i="120"/>
  <c r="J145" i="123"/>
  <c r="K145" i="123"/>
  <c r="K183" i="123" s="1"/>
  <c r="J69" i="123"/>
  <c r="K69" i="123"/>
  <c r="K81" i="123"/>
  <c r="J81" i="123"/>
  <c r="K11" i="124"/>
  <c r="K41" i="124" s="1"/>
  <c r="L16" i="126"/>
  <c r="L19" i="126"/>
  <c r="L17" i="126"/>
  <c r="I17" i="126"/>
  <c r="I18" i="126"/>
  <c r="L18" i="126"/>
  <c r="I14" i="126"/>
  <c r="L14" i="126"/>
  <c r="G23" i="126"/>
  <c r="I15" i="126"/>
  <c r="L15" i="126"/>
  <c r="L13" i="126"/>
  <c r="I13" i="126"/>
  <c r="I12" i="126"/>
  <c r="L12" i="126" s="1"/>
  <c r="D87" i="123"/>
  <c r="J11" i="124"/>
  <c r="L68" i="124"/>
  <c r="J68" i="124"/>
  <c r="J67" i="124"/>
  <c r="J16" i="124"/>
  <c r="K13" i="123"/>
  <c r="K41" i="123" s="1"/>
  <c r="H175" i="123"/>
  <c r="I174" i="123"/>
  <c r="D65" i="120"/>
  <c r="J41" i="124" l="1"/>
  <c r="J72" i="124"/>
  <c r="K84" i="123"/>
  <c r="K172" i="123" s="1"/>
  <c r="J84" i="123"/>
  <c r="M129" i="120"/>
  <c r="K48" i="124"/>
  <c r="J48" i="124"/>
  <c r="I172" i="123"/>
  <c r="J183" i="123"/>
  <c r="M81" i="123"/>
  <c r="M113" i="120"/>
  <c r="M69" i="123"/>
  <c r="N131" i="120"/>
  <c r="L16" i="124"/>
  <c r="L11" i="124"/>
  <c r="M145" i="123"/>
  <c r="I23" i="126"/>
  <c r="K23" i="126"/>
  <c r="L20" i="126"/>
  <c r="L23" i="126" s="1"/>
  <c r="D44" i="123"/>
  <c r="D129" i="123"/>
  <c r="M38" i="123"/>
  <c r="L67" i="124"/>
  <c r="L72" i="124" s="1"/>
  <c r="M13" i="123"/>
  <c r="J174" i="123"/>
  <c r="K174" i="123"/>
  <c r="M136" i="123"/>
  <c r="I175" i="123"/>
  <c r="L41" i="124" l="1"/>
  <c r="M182" i="123"/>
  <c r="L48" i="124"/>
  <c r="M84" i="123"/>
  <c r="M41" i="123"/>
  <c r="M185" i="123"/>
  <c r="J172" i="123"/>
  <c r="L84" i="124"/>
  <c r="M183" i="123"/>
  <c r="N41" i="123"/>
  <c r="M174" i="123"/>
  <c r="K175" i="123"/>
  <c r="K176" i="123"/>
  <c r="J176" i="123"/>
  <c r="J175" i="123"/>
  <c r="M172" i="123" l="1"/>
  <c r="M194" i="123"/>
  <c r="M190" i="123"/>
  <c r="K113" i="120"/>
</calcChain>
</file>

<file path=xl/sharedStrings.xml><?xml version="1.0" encoding="utf-8"?>
<sst xmlns="http://schemas.openxmlformats.org/spreadsheetml/2006/main" count="896" uniqueCount="554">
  <si>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</si>
  <si>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</si>
  <si>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</si>
  <si>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</si>
  <si>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</si>
  <si>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</si>
  <si>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</si>
  <si>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</si>
  <si>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</si>
  <si>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</si>
  <si>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</si>
  <si>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</si>
  <si>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</si>
  <si>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</si>
  <si>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</si>
  <si>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</si>
  <si>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</si>
  <si>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</si>
  <si>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</si>
  <si>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</si>
  <si>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</si>
  <si>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</si>
  <si>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</si>
  <si>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</si>
  <si>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</si>
  <si>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</si>
  <si>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</si>
  <si>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</si>
  <si>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</si>
  <si>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</si>
  <si>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</si>
  <si>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</si>
  <si>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</si>
  <si>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</si>
  <si>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</si>
  <si>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</si>
  <si>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</si>
  <si>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</si>
  <si>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</si>
  <si>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</si>
  <si>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</si>
  <si>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</si>
  <si>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</si>
  <si>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</si>
  <si>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</si>
  <si>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</si>
  <si>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</si>
  <si>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</si>
  <si>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</si>
  <si>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</si>
  <si>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</si>
  <si>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</si>
  <si>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</si>
  <si>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</si>
  <si>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</si>
  <si>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</si>
  <si>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</si>
  <si>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</si>
  <si>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</si>
  <si>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</si>
  <si>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</si>
  <si>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</si>
  <si>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</si>
  <si>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</si>
  <si>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</si>
  <si>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</si>
  <si>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</si>
  <si>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</si>
  <si>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</si>
  <si>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</si>
  <si>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</si>
  <si>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</si>
  <si>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</si>
  <si>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</si>
  <si>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</si>
  <si>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</si>
  <si>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</si>
  <si>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</si>
  <si>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</si>
  <si>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</si>
  <si>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</si>
  <si>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</si>
  <si>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</si>
  <si>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</si>
  <si>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</si>
  <si>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</si>
  <si>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</si>
  <si>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</si>
  <si>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</si>
  <si>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</si>
  <si>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</si>
  <si>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</si>
  <si>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</si>
  <si>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</si>
  <si>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</si>
  <si>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</si>
  <si>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</si>
  <si>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</si>
  <si>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</si>
  <si>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</si>
  <si>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</si>
  <si>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</si>
  <si>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</si>
  <si>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</si>
  <si>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</si>
  <si>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</si>
  <si>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</si>
  <si>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</si>
  <si>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</si>
  <si>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</si>
  <si>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</si>
  <si>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</si>
  <si>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</si>
  <si>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</si>
  <si>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</si>
  <si>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</si>
  <si>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</si>
  <si>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</si>
  <si>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</si>
  <si>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</si>
  <si>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</si>
  <si>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</si>
  <si>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</si>
  <si>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</si>
  <si>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</si>
  <si>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</si>
  <si>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</si>
  <si>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</si>
  <si>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</si>
  <si>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</si>
  <si>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</si>
  <si>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</si>
  <si>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</si>
  <si>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</si>
  <si>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</si>
  <si>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</si>
  <si>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</si>
  <si>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</si>
  <si>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</si>
  <si>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</si>
  <si>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</si>
  <si>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</si>
  <si>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</si>
  <si>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</si>
  <si>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</si>
  <si>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</si>
  <si>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</si>
  <si>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</si>
  <si>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</si>
  <si>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</si>
  <si>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</si>
  <si>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</si>
  <si>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</si>
  <si>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</si>
  <si>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</si>
  <si>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</si>
  <si>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</si>
  <si>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</si>
  <si>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</si>
  <si>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</si>
  <si>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</si>
  <si>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</si>
  <si>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</si>
  <si>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</si>
  <si>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</si>
  <si>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</si>
  <si>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</si>
  <si>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</si>
  <si>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</si>
  <si>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</si>
  <si>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</si>
  <si>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</si>
  <si>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</si>
  <si>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</si>
  <si>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</si>
  <si>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</si>
  <si>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</si>
  <si>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</si>
  <si>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</si>
  <si>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</si>
  <si>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</si>
  <si>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</si>
  <si>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</si>
  <si>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</si>
  <si>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</si>
  <si>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</si>
  <si>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</si>
  <si>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</si>
  <si>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</si>
  <si>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</si>
  <si>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</si>
  <si>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</si>
  <si>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</si>
  <si>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</si>
  <si>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</si>
  <si>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</si>
  <si>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</si>
  <si>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</si>
  <si>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</si>
  <si>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</si>
  <si>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</si>
  <si>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</si>
  <si>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</si>
  <si>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</si>
  <si>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</si>
  <si>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</si>
  <si>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0208</t>
  </si>
  <si>
    <t>0051</t>
  </si>
  <si>
    <t>9033</t>
  </si>
  <si>
    <t>9013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</si>
  <si>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</si>
  <si>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</si>
  <si>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</si>
  <si>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</si>
  <si>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</si>
  <si>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</si>
  <si>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</si>
  <si>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</si>
  <si>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</si>
  <si>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</si>
  <si>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</si>
  <si>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</si>
  <si>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</si>
  <si>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</si>
  <si>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</si>
  <si>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</si>
  <si>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</si>
  <si>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</si>
  <si>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</si>
  <si>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</si>
  <si>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</si>
  <si>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</si>
  <si>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</si>
  <si>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</si>
  <si>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</si>
  <si>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</si>
  <si>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9016</t>
  </si>
  <si>
    <t>0087</t>
  </si>
  <si>
    <t>9050</t>
  </si>
  <si>
    <t>9061</t>
  </si>
  <si>
    <t>0166</t>
  </si>
  <si>
    <t>9010</t>
  </si>
  <si>
    <t>9005</t>
  </si>
  <si>
    <t>9031</t>
  </si>
  <si>
    <t>9018</t>
  </si>
  <si>
    <t>9071</t>
  </si>
  <si>
    <t>9022</t>
  </si>
  <si>
    <t>9052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</si>
  <si>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</si>
  <si>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</si>
  <si>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</si>
  <si>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</si>
  <si>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</si>
  <si>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</si>
  <si>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</si>
  <si>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</si>
  <si>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</si>
  <si>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</si>
  <si>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</si>
  <si>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</si>
  <si>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</si>
  <si>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</si>
  <si>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</si>
  <si>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</si>
  <si>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</si>
  <si>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</si>
  <si>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</si>
  <si>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</si>
  <si>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</si>
  <si>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</si>
  <si>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</si>
  <si>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</si>
  <si>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</si>
  <si>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</si>
  <si>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</si>
  <si>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</si>
  <si>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</si>
  <si>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</si>
  <si>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</si>
  <si>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</si>
  <si>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</si>
  <si>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</si>
  <si>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</si>
  <si>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0142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</si>
  <si>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</si>
  <si>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</si>
  <si>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</si>
  <si>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</si>
  <si>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</si>
  <si>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</si>
  <si>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</si>
  <si>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</si>
  <si>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</si>
  <si>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</si>
  <si>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</si>
  <si>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</si>
  <si>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</si>
  <si>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</si>
  <si>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</si>
  <si>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</si>
  <si>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</si>
  <si>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</si>
  <si>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</si>
  <si>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</si>
  <si>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</si>
  <si>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</si>
  <si>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</si>
  <si>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</si>
  <si>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</si>
  <si>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</si>
  <si>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</si>
  <si>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</si>
  <si>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</si>
  <si>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</si>
  <si>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</si>
  <si>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</si>
  <si>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</si>
  <si>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</si>
  <si>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</si>
  <si>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</si>
  <si>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</si>
  <si>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</si>
  <si>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</si>
  <si>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</si>
  <si>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</si>
  <si>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</si>
  <si>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</si>
  <si>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</si>
  <si>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</si>
  <si>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</si>
  <si>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</si>
  <si>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</si>
  <si>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</si>
  <si>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</si>
  <si>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</si>
  <si>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</si>
  <si>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</si>
  <si>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</si>
  <si>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</si>
  <si>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</si>
  <si>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</si>
  <si>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</si>
  <si>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</si>
  <si>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</si>
  <si>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</si>
  <si>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</si>
  <si>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</si>
  <si>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</si>
  <si>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</si>
  <si>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</si>
  <si>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</si>
  <si>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</si>
  <si>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</si>
  <si>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</si>
  <si>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</si>
  <si>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</si>
  <si>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</si>
  <si>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</si>
  <si>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</si>
  <si>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</si>
  <si>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</si>
  <si>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</si>
  <si>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</si>
  <si>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</si>
  <si>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</si>
  <si>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</si>
  <si>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</si>
  <si>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</si>
  <si>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</si>
  <si>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</si>
  <si>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</si>
  <si>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</si>
  <si>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</si>
  <si>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</si>
  <si>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</si>
  <si>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</si>
  <si>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</si>
  <si>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0068</t>
  </si>
  <si>
    <t>COMISARIO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</si>
  <si>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</si>
  <si>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</si>
  <si>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</si>
  <si>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</si>
  <si>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</si>
  <si>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</si>
  <si>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</si>
  <si>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</si>
  <si>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</si>
  <si>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</si>
  <si>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</si>
  <si>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</si>
  <si>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</si>
  <si>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</si>
  <si>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</si>
  <si>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</si>
  <si>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</si>
  <si>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</si>
  <si>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</si>
  <si>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</si>
  <si>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</si>
  <si>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</si>
  <si>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</si>
  <si>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</si>
  <si>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</si>
  <si>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</si>
  <si>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</si>
  <si>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</si>
  <si>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</si>
  <si>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</si>
  <si>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</si>
  <si>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</si>
  <si>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</si>
  <si>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</si>
  <si>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</si>
  <si>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</si>
  <si>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</si>
  <si>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</si>
  <si>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9115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</si>
  <si>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</si>
  <si>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</si>
  <si>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</si>
  <si>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</si>
  <si>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</si>
  <si>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</si>
  <si>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</si>
  <si>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</si>
  <si>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</si>
  <si>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</si>
  <si>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</si>
  <si>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</si>
  <si>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9132</t>
  </si>
  <si>
    <t>VANESSA ALEJANDRA AVILA RUIZ</t>
  </si>
  <si>
    <t>JOSE CAMPOS GONZALEZ</t>
  </si>
  <si>
    <t>OPERADOR DE MOTOCONFORMADORA</t>
  </si>
  <si>
    <t>SECRETARIA DE JEFA DE GABINETE</t>
  </si>
  <si>
    <t>TITULAR DE UNIDAD DE TRANSPARENCIA</t>
  </si>
  <si>
    <t>TITULAR DE PROTECCION DE DATOS</t>
  </si>
  <si>
    <t>ROSA ISELA ALCARAZ PRECIADO</t>
  </si>
  <si>
    <t>MARIA JOSEFINA RUIZ RUBIO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</si>
  <si>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</si>
  <si>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</si>
  <si>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</si>
  <si>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</si>
  <si>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</si>
  <si>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</si>
  <si>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</si>
  <si>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</si>
  <si>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</si>
  <si>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</si>
  <si>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</si>
  <si>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THELMA YADIRA RAMOS SILVA</t>
  </si>
  <si>
    <t>NOMINA 1A QUINCENA DE ENERO DE 2022</t>
  </si>
  <si>
    <t>NOMINA DE DIETAS 1A QUINCENA DE ENERO DE 2022</t>
  </si>
  <si>
    <t>2 0 2 2</t>
  </si>
  <si>
    <t>Publicadas en el D. O. F. el dia 12 de Enero de 2022</t>
  </si>
  <si>
    <t xml:space="preserve">               EJERCICIO 2022</t>
  </si>
  <si>
    <t>0270</t>
  </si>
  <si>
    <t>0016</t>
  </si>
  <si>
    <t>PROTECCION DE DATOS PERSONALES</t>
  </si>
  <si>
    <t>9153</t>
  </si>
  <si>
    <t>0271</t>
  </si>
  <si>
    <t>0272</t>
  </si>
  <si>
    <t>0273</t>
  </si>
  <si>
    <t>0274</t>
  </si>
  <si>
    <t>0275</t>
  </si>
  <si>
    <t>0276</t>
  </si>
  <si>
    <t>0277</t>
  </si>
  <si>
    <t>0278</t>
  </si>
  <si>
    <t>0295</t>
  </si>
  <si>
    <t>0279</t>
  </si>
  <si>
    <t>0280</t>
  </si>
  <si>
    <t>0281</t>
  </si>
  <si>
    <t>0282</t>
  </si>
  <si>
    <t>9143</t>
  </si>
  <si>
    <t>9144</t>
  </si>
  <si>
    <t>9145</t>
  </si>
  <si>
    <t>9146</t>
  </si>
  <si>
    <t>9147</t>
  </si>
  <si>
    <t>9148</t>
  </si>
  <si>
    <t>9024</t>
  </si>
  <si>
    <t>9149</t>
  </si>
  <si>
    <t>9150</t>
  </si>
  <si>
    <t>9151</t>
  </si>
  <si>
    <t>9188</t>
  </si>
  <si>
    <t>9152</t>
  </si>
  <si>
    <t>9154</t>
  </si>
  <si>
    <t>0257</t>
  </si>
  <si>
    <t>9190</t>
  </si>
  <si>
    <t>9155</t>
  </si>
  <si>
    <t>9156</t>
  </si>
  <si>
    <t>9157</t>
  </si>
  <si>
    <t>9158</t>
  </si>
  <si>
    <t>0053</t>
  </si>
  <si>
    <t>9159</t>
  </si>
  <si>
    <t>9160</t>
  </si>
  <si>
    <t>9161</t>
  </si>
  <si>
    <t>9174</t>
  </si>
  <si>
    <t>9162</t>
  </si>
  <si>
    <t>9163</t>
  </si>
  <si>
    <t>9140</t>
  </si>
  <si>
    <t>9164</t>
  </si>
  <si>
    <t>9167</t>
  </si>
  <si>
    <t>9127</t>
  </si>
  <si>
    <t>9186</t>
  </si>
  <si>
    <t>9168</t>
  </si>
  <si>
    <t>9169</t>
  </si>
  <si>
    <t>9170</t>
  </si>
  <si>
    <t>9171</t>
  </si>
  <si>
    <t>9172</t>
  </si>
  <si>
    <t>9114</t>
  </si>
  <si>
    <t>9173</t>
  </si>
  <si>
    <t>9141</t>
  </si>
  <si>
    <t>9175</t>
  </si>
  <si>
    <t>9189</t>
  </si>
  <si>
    <t>9135</t>
  </si>
  <si>
    <t>9176</t>
  </si>
  <si>
    <t>9177</t>
  </si>
  <si>
    <t>9178</t>
  </si>
  <si>
    <t>9179</t>
  </si>
  <si>
    <t>9180</t>
  </si>
  <si>
    <t>9181</t>
  </si>
  <si>
    <t>9182</t>
  </si>
  <si>
    <t>9183</t>
  </si>
  <si>
    <t>9184</t>
  </si>
  <si>
    <t>9185</t>
  </si>
  <si>
    <t>0188</t>
  </si>
  <si>
    <t>0164</t>
  </si>
  <si>
    <t>0284</t>
  </si>
  <si>
    <t>0247</t>
  </si>
  <si>
    <t>0285</t>
  </si>
  <si>
    <t>0155</t>
  </si>
  <si>
    <t>0286</t>
  </si>
  <si>
    <t>0288</t>
  </si>
  <si>
    <t>0252</t>
  </si>
  <si>
    <t>0253</t>
  </si>
  <si>
    <t>0289</t>
  </si>
  <si>
    <t>0256</t>
  </si>
  <si>
    <t>0290</t>
  </si>
  <si>
    <t>0218</t>
  </si>
  <si>
    <t>0189</t>
  </si>
  <si>
    <t>0291</t>
  </si>
  <si>
    <t>0296</t>
  </si>
  <si>
    <t>0292</t>
  </si>
  <si>
    <t>0293</t>
  </si>
  <si>
    <t>0294</t>
  </si>
  <si>
    <t>SAGRARIO ABIGAIL CERVANTES ARCINIEGA</t>
  </si>
  <si>
    <t>OPERADOR DE VOLTEO</t>
  </si>
  <si>
    <t>ISAAC REYES MARTINEZ</t>
  </si>
  <si>
    <t>NOMINA 1RA QUINCENA DE ENERO DE  2022</t>
  </si>
  <si>
    <t>DANIEL GONZALEZ ESQUEDA</t>
  </si>
  <si>
    <t>DAMUKZY JESUS ANDRADE TORRES</t>
  </si>
  <si>
    <t>SUELDOS 1RA QUINCENA DE ENERO DE 2022</t>
  </si>
  <si>
    <t>OFICIAL</t>
  </si>
  <si>
    <t>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</si>
</sst>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4"/>
      <name val="Verdana"/>
      <family val="2"/>
    </font>
    <font>
      <sz val="24"/>
      <name val="Arial"/>
      <family val="2"/>
    </font>
    <font>
      <b/>
      <sz val="24"/>
      <name val="Arial"/>
      <family val="2"/>
    </font>
    <font>
      <b/>
      <sz val="24"/>
      <color theme="0"/>
      <name val="Arial"/>
      <family val="2"/>
    </font>
    <font>
      <sz val="2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6" fillId="0" borderId="0"/>
    <xf numFmtId="164" fontId="1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3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168" fontId="15" fillId="0" borderId="24" xfId="2" applyNumberFormat="1" applyFont="1" applyFill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5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center"/>
      <protection locked="0"/>
    </xf>
    <xf numFmtId="43" fontId="20" fillId="0" borderId="2" xfId="2" applyFont="1" applyFill="1" applyBorder="1" applyAlignment="1" applyProtection="1">
      <alignment horizontal="right"/>
      <protection hidden="1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</xf>
    <xf numFmtId="0" fontId="19" fillId="0" borderId="21" xfId="0" applyFont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locked="0"/>
    </xf>
    <xf numFmtId="43" fontId="20" fillId="0" borderId="22" xfId="2" applyFont="1" applyFill="1" applyBorder="1" applyAlignment="1" applyProtection="1">
      <alignment horizontal="right"/>
    </xf>
    <xf numFmtId="0" fontId="20" fillId="0" borderId="32" xfId="0" applyFont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0" fillId="0" borderId="0" xfId="0" applyBorder="1"/>
    <xf numFmtId="0" fontId="3" fillId="0" borderId="43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68" fontId="15" fillId="0" borderId="36" xfId="2" applyNumberFormat="1" applyFont="1" applyBorder="1" applyAlignment="1" applyProtection="1">
      <alignment horizontal="right"/>
      <protection hidden="1"/>
    </xf>
    <xf numFmtId="0" fontId="15" fillId="0" borderId="45" xfId="0" applyFont="1" applyBorder="1" applyAlignment="1" applyProtection="1">
      <alignment horizontal="left"/>
      <protection locked="0"/>
    </xf>
    <xf numFmtId="0" fontId="15" fillId="0" borderId="46" xfId="0" applyFont="1" applyBorder="1" applyProtection="1">
      <protection hidden="1"/>
    </xf>
    <xf numFmtId="0" fontId="15" fillId="0" borderId="45" xfId="0" applyFont="1" applyBorder="1" applyProtection="1">
      <protection hidden="1"/>
    </xf>
    <xf numFmtId="167" fontId="26" fillId="0" borderId="0" xfId="5" applyProtection="1"/>
    <xf numFmtId="4" fontId="1" fillId="0" borderId="0" xfId="5" applyNumberFormat="1" applyFont="1" applyProtection="1"/>
    <xf numFmtId="4" fontId="19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7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26" fillId="6" borderId="0" xfId="5" applyFill="1" applyAlignment="1" applyProtection="1">
      <alignment horizontal="centerContinuous"/>
    </xf>
    <xf numFmtId="49" fontId="27" fillId="6" borderId="0" xfId="5" applyNumberFormat="1" applyFont="1" applyFill="1" applyAlignment="1" applyProtection="1">
      <alignment horizontal="centerContinuous"/>
    </xf>
    <xf numFmtId="167" fontId="26" fillId="0" borderId="0" xfId="5" applyBorder="1" applyProtection="1"/>
    <xf numFmtId="4" fontId="17" fillId="0" borderId="0" xfId="5" applyNumberFormat="1" applyFont="1" applyBorder="1" applyAlignment="1" applyProtection="1">
      <alignment horizontal="centerContinuous"/>
    </xf>
    <xf numFmtId="4" fontId="18" fillId="0" borderId="0" xfId="5" applyNumberFormat="1" applyFont="1" applyBorder="1" applyProtection="1"/>
    <xf numFmtId="4" fontId="18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0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26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26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9" xfId="6" applyNumberFormat="1" applyFont="1" applyBorder="1" applyProtection="1"/>
    <xf numFmtId="168" fontId="6" fillId="0" borderId="50" xfId="6" applyNumberFormat="1" applyFont="1" applyBorder="1" applyProtection="1"/>
    <xf numFmtId="167" fontId="30" fillId="7" borderId="51" xfId="5" applyFont="1" applyFill="1" applyBorder="1" applyProtection="1"/>
    <xf numFmtId="43" fontId="30" fillId="7" borderId="52" xfId="2" applyFont="1" applyFill="1" applyBorder="1" applyProtection="1"/>
    <xf numFmtId="0" fontId="31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5" fillId="0" borderId="18" xfId="2" applyNumberFormat="1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7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36" fillId="0" borderId="0" xfId="0" applyNumberFormat="1" applyFont="1" applyProtection="1">
      <protection hidden="1"/>
    </xf>
    <xf numFmtId="43" fontId="36" fillId="0" borderId="0" xfId="2" applyFont="1" applyProtection="1">
      <protection hidden="1"/>
    </xf>
    <xf numFmtId="0" fontId="36" fillId="0" borderId="0" xfId="0" applyFont="1" applyProtection="1">
      <protection hidden="1"/>
    </xf>
    <xf numFmtId="168" fontId="37" fillId="9" borderId="0" xfId="0" applyNumberFormat="1" applyFont="1" applyFill="1" applyProtection="1">
      <protection hidden="1"/>
    </xf>
    <xf numFmtId="43" fontId="37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7" fillId="10" borderId="13" xfId="0" applyFont="1" applyFill="1" applyBorder="1" applyAlignment="1" applyProtection="1">
      <alignment horizontal="left"/>
      <protection hidden="1"/>
    </xf>
    <xf numFmtId="168" fontId="2" fillId="0" borderId="53" xfId="2" applyNumberFormat="1" applyFont="1" applyBorder="1" applyAlignment="1" applyProtection="1">
      <alignment horizontal="right"/>
      <protection hidden="1"/>
    </xf>
    <xf numFmtId="168" fontId="24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1" fillId="10" borderId="13" xfId="0" applyFont="1" applyFill="1" applyBorder="1" applyAlignment="1" applyProtection="1">
      <alignment horizontal="center"/>
    </xf>
    <xf numFmtId="0" fontId="22" fillId="10" borderId="13" xfId="0" applyFont="1" applyFill="1" applyBorder="1" applyAlignment="1" applyProtection="1">
      <alignment horizontal="center"/>
    </xf>
    <xf numFmtId="0" fontId="22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6" fillId="10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49" fontId="18" fillId="0" borderId="29" xfId="0" applyNumberFormat="1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0" fontId="18" fillId="0" borderId="16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168" fontId="18" fillId="0" borderId="2" xfId="2" applyNumberFormat="1" applyFont="1" applyFill="1" applyBorder="1" applyAlignment="1" applyProtection="1">
      <alignment horizontal="right"/>
      <protection hidden="1"/>
    </xf>
    <xf numFmtId="43" fontId="18" fillId="0" borderId="2" xfId="2" applyFont="1" applyFill="1" applyBorder="1" applyAlignment="1" applyProtection="1">
      <alignment horizontal="right"/>
      <protection hidden="1"/>
    </xf>
    <xf numFmtId="0" fontId="18" fillId="0" borderId="16" xfId="0" applyFont="1" applyFill="1" applyBorder="1" applyAlignment="1" applyProtection="1">
      <alignment horizontal="left" wrapText="1"/>
      <protection locked="0"/>
    </xf>
    <xf numFmtId="0" fontId="18" fillId="0" borderId="16" xfId="0" applyFont="1" applyFill="1" applyBorder="1" applyAlignment="1" applyProtection="1">
      <alignment horizontal="left"/>
      <protection locked="0"/>
    </xf>
    <xf numFmtId="0" fontId="18" fillId="0" borderId="2" xfId="0" applyFont="1" applyFill="1" applyBorder="1" applyAlignment="1" applyProtection="1">
      <alignment horizontal="left" wrapText="1"/>
      <protection locked="0"/>
    </xf>
    <xf numFmtId="0" fontId="18" fillId="0" borderId="10" xfId="0" applyFont="1" applyFill="1" applyBorder="1" applyProtection="1">
      <protection locked="0"/>
    </xf>
    <xf numFmtId="49" fontId="18" fillId="0" borderId="2" xfId="0" applyNumberFormat="1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168" fontId="18" fillId="0" borderId="3" xfId="2" applyNumberFormat="1" applyFont="1" applyFill="1" applyBorder="1" applyAlignment="1" applyProtection="1">
      <alignment horizontal="right"/>
      <protection hidden="1"/>
    </xf>
    <xf numFmtId="43" fontId="18" fillId="0" borderId="3" xfId="2" applyFont="1" applyFill="1" applyBorder="1" applyAlignment="1" applyProtection="1">
      <alignment horizontal="right"/>
      <protection hidden="1"/>
    </xf>
    <xf numFmtId="0" fontId="18" fillId="0" borderId="25" xfId="0" applyFont="1" applyFill="1" applyBorder="1" applyAlignment="1" applyProtection="1">
      <alignment horizontal="left"/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49" fontId="18" fillId="0" borderId="22" xfId="0" applyNumberFormat="1" applyFont="1" applyBorder="1" applyAlignment="1" applyProtection="1">
      <alignment horizontal="center"/>
      <protection locked="0"/>
    </xf>
    <xf numFmtId="49" fontId="18" fillId="0" borderId="3" xfId="0" applyNumberFormat="1" applyFont="1" applyBorder="1" applyAlignment="1" applyProtection="1">
      <alignment horizontal="center"/>
      <protection hidden="1"/>
    </xf>
    <xf numFmtId="49" fontId="18" fillId="0" borderId="16" xfId="0" applyNumberFormat="1" applyFont="1" applyFill="1" applyBorder="1" applyAlignment="1" applyProtection="1">
      <alignment horizontal="center"/>
      <protection locked="0"/>
    </xf>
    <xf numFmtId="49" fontId="18" fillId="0" borderId="20" xfId="0" applyNumberFormat="1" applyFont="1" applyBorder="1" applyAlignment="1" applyProtection="1">
      <alignment horizontal="center"/>
      <protection locked="0"/>
    </xf>
    <xf numFmtId="49" fontId="18" fillId="0" borderId="35" xfId="0" applyNumberFormat="1" applyFont="1" applyBorder="1" applyAlignment="1" applyProtection="1">
      <alignment horizontal="center"/>
      <protection locked="0"/>
    </xf>
    <xf numFmtId="0" fontId="18" fillId="0" borderId="42" xfId="0" applyFont="1" applyFill="1" applyBorder="1" applyAlignment="1" applyProtection="1">
      <alignment horizontal="left"/>
      <protection locked="0"/>
    </xf>
    <xf numFmtId="0" fontId="18" fillId="0" borderId="22" xfId="0" applyFont="1" applyFill="1" applyBorder="1" applyAlignment="1" applyProtection="1">
      <alignment horizontal="left"/>
      <protection locked="0"/>
    </xf>
    <xf numFmtId="168" fontId="18" fillId="0" borderId="32" xfId="2" applyNumberFormat="1" applyFont="1" applyFill="1" applyBorder="1" applyAlignment="1" applyProtection="1">
      <alignment horizontal="right"/>
      <protection hidden="1"/>
    </xf>
    <xf numFmtId="168" fontId="45" fillId="0" borderId="16" xfId="2" applyNumberFormat="1" applyFont="1" applyFill="1" applyBorder="1" applyAlignment="1" applyProtection="1">
      <alignment horizontal="right"/>
      <protection hidden="1"/>
    </xf>
    <xf numFmtId="168" fontId="45" fillId="0" borderId="2" xfId="2" applyNumberFormat="1" applyFont="1" applyFill="1" applyBorder="1" applyAlignment="1" applyProtection="1">
      <alignment horizontal="right"/>
      <protection hidden="1"/>
    </xf>
    <xf numFmtId="0" fontId="44" fillId="0" borderId="39" xfId="0" applyFont="1" applyFill="1" applyBorder="1" applyAlignment="1" applyProtection="1">
      <alignment horizontal="center"/>
    </xf>
    <xf numFmtId="0" fontId="44" fillId="0" borderId="10" xfId="0" applyFont="1" applyFill="1" applyBorder="1" applyAlignment="1" applyProtection="1">
      <alignment horizontal="center"/>
    </xf>
    <xf numFmtId="43" fontId="5" fillId="0" borderId="15" xfId="2" applyFont="1" applyBorder="1" applyProtection="1"/>
    <xf numFmtId="49" fontId="1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45" fillId="11" borderId="3" xfId="0" applyFont="1" applyFill="1" applyBorder="1" applyProtection="1"/>
    <xf numFmtId="0" fontId="44" fillId="11" borderId="3" xfId="0" applyFont="1" applyFill="1" applyBorder="1" applyAlignment="1" applyProtection="1">
      <alignment horizontal="center"/>
    </xf>
    <xf numFmtId="43" fontId="44" fillId="11" borderId="0" xfId="2" applyFont="1" applyFill="1" applyBorder="1" applyAlignment="1" applyProtection="1">
      <alignment horizontal="center"/>
    </xf>
    <xf numFmtId="0" fontId="44" fillId="11" borderId="0" xfId="0" applyFont="1" applyFill="1" applyBorder="1" applyAlignment="1" applyProtection="1">
      <alignment horizontal="center"/>
    </xf>
    <xf numFmtId="0" fontId="44" fillId="11" borderId="5" xfId="0" applyFont="1" applyFill="1" applyBorder="1" applyAlignment="1" applyProtection="1">
      <alignment horizontal="center"/>
    </xf>
    <xf numFmtId="43" fontId="44" fillId="11" borderId="3" xfId="2" applyFont="1" applyFill="1" applyBorder="1" applyAlignment="1" applyProtection="1">
      <alignment horizontal="center"/>
    </xf>
    <xf numFmtId="0" fontId="44" fillId="11" borderId="4" xfId="0" applyFont="1" applyFill="1" applyBorder="1" applyAlignment="1" applyProtection="1">
      <alignment horizontal="center"/>
    </xf>
    <xf numFmtId="43" fontId="44" fillId="11" borderId="4" xfId="2" applyFont="1" applyFill="1" applyBorder="1" applyAlignment="1" applyProtection="1">
      <alignment horizontal="center"/>
    </xf>
    <xf numFmtId="0" fontId="44" fillId="11" borderId="13" xfId="0" applyFont="1" applyFill="1" applyBorder="1" applyAlignment="1" applyProtection="1">
      <alignment horizontal="center"/>
    </xf>
    <xf numFmtId="43" fontId="44" fillId="11" borderId="6" xfId="2" applyFont="1" applyFill="1" applyBorder="1" applyAlignment="1" applyProtection="1">
      <alignment horizontal="center"/>
    </xf>
    <xf numFmtId="0" fontId="44" fillId="11" borderId="6" xfId="0" applyFont="1" applyFill="1" applyBorder="1" applyAlignment="1" applyProtection="1">
      <alignment horizontal="center"/>
    </xf>
    <xf numFmtId="0" fontId="45" fillId="11" borderId="4" xfId="0" applyFont="1" applyFill="1" applyBorder="1" applyProtection="1"/>
    <xf numFmtId="0" fontId="44" fillId="0" borderId="3" xfId="0" applyFont="1" applyFill="1" applyBorder="1" applyAlignment="1" applyProtection="1">
      <alignment horizontal="center"/>
    </xf>
    <xf numFmtId="0" fontId="45" fillId="10" borderId="3" xfId="0" applyFont="1" applyFill="1" applyBorder="1" applyProtection="1"/>
    <xf numFmtId="0" fontId="44" fillId="10" borderId="3" xfId="0" applyFont="1" applyFill="1" applyBorder="1" applyAlignment="1" applyProtection="1">
      <alignment horizontal="center"/>
    </xf>
    <xf numFmtId="43" fontId="44" fillId="10" borderId="0" xfId="2" applyFont="1" applyFill="1" applyBorder="1" applyAlignment="1" applyProtection="1">
      <alignment horizontal="center"/>
    </xf>
    <xf numFmtId="0" fontId="44" fillId="10" borderId="0" xfId="0" applyFont="1" applyFill="1" applyBorder="1" applyAlignment="1" applyProtection="1">
      <alignment horizontal="center"/>
    </xf>
    <xf numFmtId="0" fontId="44" fillId="10" borderId="5" xfId="0" applyFont="1" applyFill="1" applyBorder="1" applyAlignment="1" applyProtection="1">
      <alignment horizontal="center"/>
    </xf>
    <xf numFmtId="43" fontId="44" fillId="10" borderId="3" xfId="2" applyFont="1" applyFill="1" applyBorder="1" applyAlignment="1" applyProtection="1">
      <alignment horizontal="center"/>
    </xf>
    <xf numFmtId="0" fontId="44" fillId="10" borderId="4" xfId="0" applyFont="1" applyFill="1" applyBorder="1" applyAlignment="1" applyProtection="1">
      <alignment horizontal="center"/>
    </xf>
    <xf numFmtId="43" fontId="44" fillId="10" borderId="4" xfId="2" applyFont="1" applyFill="1" applyBorder="1" applyAlignment="1" applyProtection="1">
      <alignment horizontal="center"/>
    </xf>
    <xf numFmtId="0" fontId="44" fillId="10" borderId="13" xfId="0" applyFont="1" applyFill="1" applyBorder="1" applyAlignment="1" applyProtection="1">
      <alignment horizontal="center"/>
    </xf>
    <xf numFmtId="43" fontId="44" fillId="10" borderId="6" xfId="2" applyFont="1" applyFill="1" applyBorder="1" applyAlignment="1" applyProtection="1">
      <alignment horizontal="center"/>
    </xf>
    <xf numFmtId="0" fontId="44" fillId="10" borderId="6" xfId="0" applyFont="1" applyFill="1" applyBorder="1" applyAlignment="1" applyProtection="1">
      <alignment horizontal="center"/>
    </xf>
    <xf numFmtId="0" fontId="44" fillId="0" borderId="20" xfId="0" applyFont="1" applyFill="1" applyBorder="1" applyAlignment="1" applyProtection="1">
      <alignment horizontal="center"/>
    </xf>
    <xf numFmtId="0" fontId="44" fillId="0" borderId="16" xfId="0" applyFont="1" applyFill="1" applyBorder="1" applyAlignment="1" applyProtection="1">
      <alignment horizontal="center"/>
    </xf>
    <xf numFmtId="0" fontId="44" fillId="0" borderId="54" xfId="0" applyFont="1" applyFill="1" applyBorder="1" applyAlignment="1" applyProtection="1">
      <alignment horizontal="center"/>
    </xf>
    <xf numFmtId="43" fontId="5" fillId="0" borderId="0" xfId="2" applyFont="1" applyFill="1" applyProtection="1"/>
    <xf numFmtId="49" fontId="35" fillId="2" borderId="0" xfId="0" applyNumberFormat="1" applyFont="1" applyFill="1" applyAlignment="1" applyProtection="1"/>
    <xf numFmtId="49" fontId="11" fillId="0" borderId="0" xfId="0" applyNumberFormat="1" applyFont="1" applyAlignment="1" applyProtection="1">
      <protection hidden="1"/>
    </xf>
    <xf numFmtId="49" fontId="11" fillId="0" borderId="0" xfId="0" applyNumberFormat="1" applyFont="1" applyAlignment="1" applyProtection="1"/>
    <xf numFmtId="0" fontId="47" fillId="0" borderId="16" xfId="0" applyFont="1" applyFill="1" applyBorder="1" applyAlignment="1" applyProtection="1">
      <alignment horizontal="left"/>
      <protection locked="0"/>
    </xf>
    <xf numFmtId="0" fontId="46" fillId="0" borderId="16" xfId="0" applyFont="1" applyFill="1" applyBorder="1" applyAlignment="1" applyProtection="1">
      <alignment horizontal="left"/>
      <protection locked="0"/>
    </xf>
    <xf numFmtId="0" fontId="46" fillId="0" borderId="16" xfId="0" applyFont="1" applyFill="1" applyBorder="1" applyAlignment="1" applyProtection="1">
      <alignment horizontal="center"/>
      <protection locked="0"/>
    </xf>
    <xf numFmtId="43" fontId="46" fillId="0" borderId="16" xfId="2" applyFont="1" applyFill="1" applyBorder="1" applyAlignment="1" applyProtection="1">
      <alignment horizontal="right"/>
    </xf>
    <xf numFmtId="168" fontId="46" fillId="0" borderId="16" xfId="2" applyNumberFormat="1" applyFont="1" applyFill="1" applyBorder="1" applyAlignment="1" applyProtection="1">
      <alignment horizontal="right"/>
      <protection hidden="1"/>
    </xf>
    <xf numFmtId="43" fontId="46" fillId="0" borderId="16" xfId="2" applyFont="1" applyFill="1" applyBorder="1" applyAlignment="1" applyProtection="1">
      <alignment horizontal="right"/>
      <protection hidden="1"/>
    </xf>
    <xf numFmtId="49" fontId="46" fillId="0" borderId="9" xfId="0" applyNumberFormat="1" applyFont="1" applyFill="1" applyBorder="1" applyAlignment="1" applyProtection="1">
      <alignment horizontal="center"/>
    </xf>
    <xf numFmtId="0" fontId="46" fillId="0" borderId="2" xfId="0" applyFont="1" applyFill="1" applyBorder="1" applyAlignment="1" applyProtection="1">
      <alignment horizontal="left"/>
      <protection locked="0"/>
    </xf>
    <xf numFmtId="0" fontId="46" fillId="0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Fill="1" applyBorder="1" applyAlignment="1" applyProtection="1">
      <alignment horizontal="center"/>
      <protection locked="0"/>
    </xf>
    <xf numFmtId="168" fontId="46" fillId="0" borderId="2" xfId="2" applyNumberFormat="1" applyFont="1" applyFill="1" applyBorder="1" applyAlignment="1" applyProtection="1">
      <alignment horizontal="right"/>
    </xf>
    <xf numFmtId="168" fontId="46" fillId="0" borderId="2" xfId="2" applyNumberFormat="1" applyFont="1" applyFill="1" applyBorder="1" applyAlignment="1" applyProtection="1">
      <alignment horizontal="right"/>
      <protection hidden="1"/>
    </xf>
    <xf numFmtId="43" fontId="46" fillId="0" borderId="2" xfId="2" applyFont="1" applyFill="1" applyBorder="1" applyAlignment="1" applyProtection="1">
      <alignment horizontal="right"/>
      <protection hidden="1"/>
    </xf>
    <xf numFmtId="0" fontId="46" fillId="0" borderId="32" xfId="0" applyFont="1" applyFill="1" applyBorder="1" applyAlignment="1" applyProtection="1">
      <alignment horizontal="left"/>
      <protection locked="0"/>
    </xf>
    <xf numFmtId="43" fontId="46" fillId="0" borderId="2" xfId="2" applyFont="1" applyFill="1" applyBorder="1" applyAlignment="1" applyProtection="1">
      <alignment horizontal="right"/>
    </xf>
    <xf numFmtId="0" fontId="46" fillId="0" borderId="25" xfId="0" applyFont="1" applyFill="1" applyBorder="1" applyAlignment="1" applyProtection="1">
      <alignment horizontal="left"/>
      <protection locked="0"/>
    </xf>
    <xf numFmtId="0" fontId="49" fillId="11" borderId="3" xfId="0" applyFont="1" applyFill="1" applyBorder="1" applyProtection="1"/>
    <xf numFmtId="0" fontId="50" fillId="11" borderId="3" xfId="0" applyFont="1" applyFill="1" applyBorder="1" applyAlignment="1" applyProtection="1">
      <alignment horizontal="center"/>
    </xf>
    <xf numFmtId="43" fontId="50" fillId="11" borderId="0" xfId="2" applyFont="1" applyFill="1" applyBorder="1" applyAlignment="1" applyProtection="1">
      <alignment horizontal="center"/>
    </xf>
    <xf numFmtId="0" fontId="50" fillId="11" borderId="0" xfId="0" applyFont="1" applyFill="1" applyBorder="1" applyAlignment="1" applyProtection="1">
      <alignment horizontal="center"/>
    </xf>
    <xf numFmtId="0" fontId="50" fillId="11" borderId="5" xfId="0" applyFont="1" applyFill="1" applyBorder="1" applyAlignment="1" applyProtection="1">
      <alignment horizontal="center"/>
    </xf>
    <xf numFmtId="43" fontId="50" fillId="11" borderId="3" xfId="2" applyFont="1" applyFill="1" applyBorder="1" applyAlignment="1" applyProtection="1">
      <alignment horizontal="center"/>
    </xf>
    <xf numFmtId="0" fontId="50" fillId="11" borderId="4" xfId="0" applyFont="1" applyFill="1" applyBorder="1" applyAlignment="1" applyProtection="1">
      <alignment horizontal="center"/>
    </xf>
    <xf numFmtId="43" fontId="50" fillId="11" borderId="4" xfId="2" applyFont="1" applyFill="1" applyBorder="1" applyAlignment="1" applyProtection="1">
      <alignment horizontal="center"/>
    </xf>
    <xf numFmtId="0" fontId="50" fillId="11" borderId="13" xfId="0" applyFont="1" applyFill="1" applyBorder="1" applyAlignment="1" applyProtection="1">
      <alignment horizontal="center"/>
    </xf>
    <xf numFmtId="43" fontId="50" fillId="11" borderId="6" xfId="2" applyFont="1" applyFill="1" applyBorder="1" applyAlignment="1" applyProtection="1">
      <alignment horizontal="center"/>
    </xf>
    <xf numFmtId="0" fontId="50" fillId="11" borderId="6" xfId="0" applyFont="1" applyFill="1" applyBorder="1" applyAlignment="1" applyProtection="1">
      <alignment horizontal="center"/>
    </xf>
    <xf numFmtId="49" fontId="49" fillId="0" borderId="22" xfId="0" applyNumberFormat="1" applyFont="1" applyBorder="1" applyAlignment="1" applyProtection="1">
      <alignment horizontal="center"/>
    </xf>
    <xf numFmtId="0" fontId="50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center"/>
      <protection locked="0"/>
    </xf>
    <xf numFmtId="43" fontId="49" fillId="0" borderId="16" xfId="2" applyFont="1" applyFill="1" applyBorder="1" applyAlignment="1" applyProtection="1">
      <alignment horizontal="right"/>
    </xf>
    <xf numFmtId="168" fontId="49" fillId="0" borderId="16" xfId="2" applyNumberFormat="1" applyFont="1" applyFill="1" applyBorder="1" applyAlignment="1" applyProtection="1">
      <alignment horizontal="right"/>
      <protection hidden="1"/>
    </xf>
    <xf numFmtId="43" fontId="49" fillId="0" borderId="16" xfId="2" applyFont="1" applyFill="1" applyBorder="1" applyAlignment="1" applyProtection="1">
      <alignment horizontal="right"/>
      <protection hidden="1"/>
    </xf>
    <xf numFmtId="49" fontId="49" fillId="0" borderId="34" xfId="0" applyNumberFormat="1" applyFont="1" applyBorder="1" applyAlignment="1" applyProtection="1">
      <alignment horizontal="center"/>
    </xf>
    <xf numFmtId="0" fontId="49" fillId="0" borderId="2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 wrapText="1"/>
      <protection locked="0"/>
    </xf>
    <xf numFmtId="0" fontId="49" fillId="0" borderId="2" xfId="0" applyFont="1" applyFill="1" applyBorder="1" applyAlignment="1" applyProtection="1">
      <alignment horizontal="center"/>
      <protection locked="0"/>
    </xf>
    <xf numFmtId="168" fontId="49" fillId="0" borderId="2" xfId="2" applyNumberFormat="1" applyFont="1" applyFill="1" applyBorder="1" applyAlignment="1" applyProtection="1">
      <alignment horizontal="right"/>
    </xf>
    <xf numFmtId="168" fontId="49" fillId="0" borderId="2" xfId="2" applyNumberFormat="1" applyFont="1" applyFill="1" applyBorder="1" applyAlignment="1" applyProtection="1">
      <alignment horizontal="right"/>
      <protection hidden="1"/>
    </xf>
    <xf numFmtId="43" fontId="49" fillId="0" borderId="2" xfId="2" applyFont="1" applyFill="1" applyBorder="1" applyAlignment="1" applyProtection="1">
      <alignment horizontal="right"/>
      <protection hidden="1"/>
    </xf>
    <xf numFmtId="0" fontId="50" fillId="0" borderId="32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left" wrapText="1"/>
      <protection locked="0"/>
    </xf>
    <xf numFmtId="0" fontId="49" fillId="0" borderId="32" xfId="0" applyFont="1" applyFill="1" applyBorder="1" applyAlignment="1" applyProtection="1">
      <alignment horizontal="left"/>
      <protection locked="0"/>
    </xf>
    <xf numFmtId="43" fontId="49" fillId="0" borderId="2" xfId="2" applyFont="1" applyFill="1" applyBorder="1" applyAlignment="1" applyProtection="1">
      <alignment horizontal="right"/>
    </xf>
    <xf numFmtId="0" fontId="50" fillId="0" borderId="25" xfId="0" applyFont="1" applyFill="1" applyBorder="1" applyAlignment="1" applyProtection="1">
      <alignment horizontal="left"/>
      <protection locked="0"/>
    </xf>
    <xf numFmtId="0" fontId="49" fillId="0" borderId="25" xfId="0" applyFont="1" applyFill="1" applyBorder="1" applyAlignment="1" applyProtection="1">
      <alignment horizontal="left"/>
      <protection locked="0"/>
    </xf>
    <xf numFmtId="0" fontId="50" fillId="0" borderId="2" xfId="0" applyFont="1" applyFill="1" applyBorder="1" applyAlignment="1" applyProtection="1">
      <alignment horizontal="left"/>
      <protection locked="0"/>
    </xf>
    <xf numFmtId="49" fontId="49" fillId="0" borderId="2" xfId="0" applyNumberFormat="1" applyFont="1" applyBorder="1" applyAlignment="1" applyProtection="1">
      <alignment horizontal="center"/>
    </xf>
    <xf numFmtId="49" fontId="46" fillId="0" borderId="8" xfId="0" applyNumberFormat="1" applyFont="1" applyFill="1" applyBorder="1" applyAlignment="1" applyProtection="1">
      <alignment horizontal="center"/>
      <protection locked="0"/>
    </xf>
    <xf numFmtId="0" fontId="50" fillId="11" borderId="14" xfId="0" applyFont="1" applyFill="1" applyBorder="1" applyAlignment="1" applyProtection="1">
      <alignment horizontal="center"/>
    </xf>
    <xf numFmtId="49" fontId="49" fillId="0" borderId="9" xfId="0" applyNumberFormat="1" applyFont="1" applyBorder="1" applyAlignment="1" applyProtection="1">
      <alignment horizontal="center"/>
    </xf>
    <xf numFmtId="0" fontId="50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center"/>
      <protection locked="0"/>
    </xf>
    <xf numFmtId="168" fontId="49" fillId="0" borderId="2" xfId="2" applyNumberFormat="1" applyFont="1" applyBorder="1" applyAlignment="1" applyProtection="1">
      <alignment horizontal="right"/>
      <protection hidden="1"/>
    </xf>
    <xf numFmtId="43" fontId="49" fillId="0" borderId="2" xfId="2" applyFont="1" applyBorder="1" applyAlignment="1" applyProtection="1">
      <alignment horizontal="right"/>
      <protection hidden="1"/>
    </xf>
    <xf numFmtId="49" fontId="49" fillId="0" borderId="3" xfId="0" applyNumberFormat="1" applyFont="1" applyBorder="1" applyAlignment="1" applyProtection="1">
      <alignment horizontal="center"/>
    </xf>
    <xf numFmtId="0" fontId="49" fillId="0" borderId="3" xfId="0" applyFont="1" applyFill="1" applyBorder="1" applyAlignment="1" applyProtection="1">
      <alignment horizontal="left"/>
      <protection locked="0"/>
    </xf>
    <xf numFmtId="0" fontId="49" fillId="0" borderId="3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center"/>
      <protection locked="0"/>
    </xf>
    <xf numFmtId="43" fontId="49" fillId="0" borderId="3" xfId="2" applyFont="1" applyFill="1" applyBorder="1" applyAlignment="1" applyProtection="1">
      <alignment horizontal="right"/>
    </xf>
    <xf numFmtId="49" fontId="49" fillId="0" borderId="2" xfId="0" applyNumberFormat="1" applyFont="1" applyFill="1" applyBorder="1" applyAlignment="1" applyProtection="1">
      <alignment horizontal="center"/>
    </xf>
    <xf numFmtId="49" fontId="49" fillId="0" borderId="2" xfId="0" applyNumberFormat="1" applyFont="1" applyFill="1" applyBorder="1" applyAlignment="1" applyProtection="1">
      <alignment horizontal="center"/>
      <protection locked="0"/>
    </xf>
    <xf numFmtId="0" fontId="49" fillId="0" borderId="2" xfId="0" applyFont="1" applyFill="1" applyBorder="1" applyAlignment="1" applyProtection="1">
      <alignment horizontal="center" wrapText="1"/>
      <protection locked="0"/>
    </xf>
    <xf numFmtId="0" fontId="49" fillId="0" borderId="10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 wrapText="1"/>
      <protection locked="0"/>
    </xf>
    <xf numFmtId="49" fontId="49" fillId="0" borderId="3" xfId="0" applyNumberFormat="1" applyFont="1" applyFill="1" applyBorder="1" applyAlignment="1" applyProtection="1">
      <alignment horizontal="center"/>
      <protection hidden="1"/>
    </xf>
    <xf numFmtId="0" fontId="50" fillId="0" borderId="3" xfId="0" applyFont="1" applyFill="1" applyBorder="1" applyAlignment="1" applyProtection="1">
      <alignment horizontal="left"/>
      <protection hidden="1"/>
    </xf>
    <xf numFmtId="0" fontId="50" fillId="0" borderId="3" xfId="0" applyFont="1" applyFill="1" applyBorder="1" applyAlignment="1" applyProtection="1">
      <alignment horizontal="center"/>
      <protection hidden="1"/>
    </xf>
    <xf numFmtId="0" fontId="50" fillId="0" borderId="16" xfId="0" applyFont="1" applyFill="1" applyBorder="1" applyAlignment="1" applyProtection="1">
      <alignment horizontal="center"/>
      <protection hidden="1"/>
    </xf>
    <xf numFmtId="43" fontId="50" fillId="0" borderId="3" xfId="2" applyFont="1" applyFill="1" applyBorder="1" applyAlignment="1" applyProtection="1">
      <alignment horizontal="center"/>
      <protection hidden="1"/>
    </xf>
    <xf numFmtId="49" fontId="49" fillId="0" borderId="29" xfId="0" applyNumberFormat="1" applyFont="1" applyFill="1" applyBorder="1" applyAlignment="1" applyProtection="1">
      <alignment horizontal="center"/>
      <protection locked="0"/>
    </xf>
    <xf numFmtId="49" fontId="49" fillId="0" borderId="8" xfId="0" applyNumberFormat="1" applyFont="1" applyFill="1" applyBorder="1" applyAlignment="1" applyProtection="1">
      <alignment horizontal="center"/>
      <protection locked="0"/>
    </xf>
    <xf numFmtId="49" fontId="49" fillId="0" borderId="36" xfId="0" applyNumberFormat="1" applyFont="1" applyBorder="1" applyAlignment="1" applyProtection="1">
      <alignment horizontal="center"/>
    </xf>
    <xf numFmtId="0" fontId="49" fillId="0" borderId="7" xfId="0" applyFont="1" applyBorder="1" applyProtection="1"/>
    <xf numFmtId="0" fontId="49" fillId="11" borderId="37" xfId="0" applyFont="1" applyFill="1" applyBorder="1" applyProtection="1"/>
    <xf numFmtId="0" fontId="50" fillId="11" borderId="27" xfId="0" applyFont="1" applyFill="1" applyBorder="1" applyAlignment="1" applyProtection="1">
      <alignment horizontal="center"/>
    </xf>
    <xf numFmtId="168" fontId="50" fillId="11" borderId="1" xfId="2" applyNumberFormat="1" applyFont="1" applyFill="1" applyBorder="1" applyAlignment="1" applyProtection="1">
      <alignment horizontal="right"/>
    </xf>
    <xf numFmtId="168" fontId="50" fillId="0" borderId="1" xfId="2" applyNumberFormat="1" applyFont="1" applyBorder="1" applyAlignment="1" applyProtection="1">
      <alignment horizontal="right"/>
    </xf>
    <xf numFmtId="49" fontId="49" fillId="0" borderId="0" xfId="0" applyNumberFormat="1" applyFont="1" applyAlignment="1" applyProtection="1"/>
    <xf numFmtId="0" fontId="49" fillId="0" borderId="0" xfId="0" applyFont="1" applyProtection="1"/>
    <xf numFmtId="0" fontId="51" fillId="0" borderId="0" xfId="0" applyFont="1" applyProtection="1"/>
    <xf numFmtId="43" fontId="51" fillId="0" borderId="0" xfId="2" applyFont="1" applyProtection="1"/>
    <xf numFmtId="168" fontId="49" fillId="0" borderId="0" xfId="0" applyNumberFormat="1" applyFont="1" applyProtection="1"/>
    <xf numFmtId="43" fontId="51" fillId="0" borderId="0" xfId="0" applyNumberFormat="1" applyFont="1" applyFill="1" applyProtection="1"/>
    <xf numFmtId="168" fontId="51" fillId="0" borderId="0" xfId="0" applyNumberFormat="1" applyFont="1" applyFill="1" applyProtection="1"/>
    <xf numFmtId="43" fontId="51" fillId="0" borderId="0" xfId="2" applyFont="1" applyFill="1" applyProtection="1"/>
    <xf numFmtId="0" fontId="52" fillId="0" borderId="0" xfId="0" applyFont="1" applyProtection="1"/>
    <xf numFmtId="168" fontId="52" fillId="0" borderId="0" xfId="0" applyNumberFormat="1" applyFont="1" applyProtection="1"/>
    <xf numFmtId="0" fontId="51" fillId="0" borderId="0" xfId="0" applyFont="1" applyFill="1" applyProtection="1"/>
    <xf numFmtId="0" fontId="51" fillId="0" borderId="17" xfId="0" applyFont="1" applyFill="1" applyBorder="1" applyProtection="1"/>
    <xf numFmtId="0" fontId="49" fillId="0" borderId="15" xfId="0" applyFont="1" applyBorder="1" applyProtection="1"/>
    <xf numFmtId="0" fontId="49" fillId="0" borderId="0" xfId="0" applyFont="1" applyProtection="1">
      <protection hidden="1"/>
    </xf>
    <xf numFmtId="0" fontId="50" fillId="0" borderId="0" xfId="0" applyFont="1" applyFill="1" applyProtection="1">
      <protection hidden="1"/>
    </xf>
    <xf numFmtId="43" fontId="50" fillId="0" borderId="0" xfId="2" applyFont="1" applyFill="1" applyProtection="1">
      <protection hidden="1"/>
    </xf>
    <xf numFmtId="0" fontId="50" fillId="0" borderId="0" xfId="0" applyFont="1" applyProtection="1">
      <protection hidden="1"/>
    </xf>
    <xf numFmtId="49" fontId="5" fillId="0" borderId="2" xfId="0" applyNumberFormat="1" applyFont="1" applyFill="1" applyBorder="1" applyAlignment="1" applyProtection="1">
      <alignment horizontal="center"/>
    </xf>
    <xf numFmtId="49" fontId="49" fillId="0" borderId="10" xfId="0" applyNumberFormat="1" applyFont="1" applyFill="1" applyBorder="1" applyAlignment="1" applyProtection="1">
      <alignment horizontal="center"/>
    </xf>
    <xf numFmtId="0" fontId="50" fillId="0" borderId="38" xfId="0" applyFont="1" applyFill="1" applyBorder="1" applyAlignment="1" applyProtection="1">
      <alignment horizontal="left"/>
    </xf>
    <xf numFmtId="0" fontId="50" fillId="0" borderId="24" xfId="0" applyFont="1" applyFill="1" applyBorder="1" applyAlignment="1" applyProtection="1">
      <alignment horizontal="center"/>
    </xf>
    <xf numFmtId="0" fontId="50" fillId="0" borderId="39" xfId="0" applyFont="1" applyFill="1" applyBorder="1" applyAlignment="1" applyProtection="1">
      <alignment horizontal="center"/>
    </xf>
    <xf numFmtId="0" fontId="50" fillId="0" borderId="10" xfId="0" applyFont="1" applyFill="1" applyBorder="1" applyAlignment="1" applyProtection="1">
      <alignment horizontal="center"/>
    </xf>
    <xf numFmtId="43" fontId="50" fillId="0" borderId="10" xfId="2" applyFont="1" applyFill="1" applyBorder="1" applyAlignment="1" applyProtection="1">
      <alignment horizontal="center"/>
    </xf>
    <xf numFmtId="43" fontId="50" fillId="0" borderId="40" xfId="2" applyFont="1" applyFill="1" applyBorder="1" applyAlignment="1" applyProtection="1">
      <alignment horizontal="center"/>
    </xf>
    <xf numFmtId="0" fontId="50" fillId="0" borderId="40" xfId="0" applyFont="1" applyFill="1" applyBorder="1" applyAlignment="1" applyProtection="1">
      <alignment horizontal="center"/>
    </xf>
    <xf numFmtId="49" fontId="49" fillId="0" borderId="3" xfId="0" applyNumberFormat="1" applyFont="1" applyFill="1" applyBorder="1" applyAlignment="1" applyProtection="1">
      <alignment horizontal="center"/>
    </xf>
    <xf numFmtId="0" fontId="49" fillId="0" borderId="8" xfId="0" applyFont="1" applyFill="1" applyBorder="1" applyAlignment="1" applyProtection="1">
      <alignment horizontal="left"/>
      <protection locked="0"/>
    </xf>
    <xf numFmtId="0" fontId="49" fillId="0" borderId="35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center"/>
      <protection locked="0"/>
    </xf>
    <xf numFmtId="0" fontId="50" fillId="0" borderId="3" xfId="0" applyFont="1" applyFill="1" applyBorder="1" applyAlignment="1" applyProtection="1">
      <alignment horizontal="center"/>
    </xf>
    <xf numFmtId="0" fontId="50" fillId="0" borderId="8" xfId="0" applyFont="1" applyFill="1" applyBorder="1" applyAlignment="1" applyProtection="1">
      <alignment horizontal="left"/>
      <protection locked="0"/>
    </xf>
    <xf numFmtId="0" fontId="49" fillId="0" borderId="22" xfId="0" applyFont="1" applyFill="1" applyBorder="1" applyAlignment="1" applyProtection="1">
      <alignment horizontal="center"/>
      <protection locked="0"/>
    </xf>
    <xf numFmtId="49" fontId="49" fillId="0" borderId="8" xfId="0" applyNumberFormat="1" applyFont="1" applyBorder="1" applyAlignment="1" applyProtection="1">
      <alignment horizontal="center"/>
      <protection locked="0"/>
    </xf>
    <xf numFmtId="0" fontId="49" fillId="0" borderId="35" xfId="0" applyFont="1" applyFill="1" applyBorder="1" applyAlignment="1" applyProtection="1">
      <alignment horizontal="left" wrapText="1"/>
      <protection locked="0"/>
    </xf>
    <xf numFmtId="0" fontId="47" fillId="0" borderId="21" xfId="0" applyFont="1" applyBorder="1" applyAlignment="1" applyProtection="1">
      <alignment horizontal="left"/>
      <protection locked="0"/>
    </xf>
    <xf numFmtId="0" fontId="46" fillId="0" borderId="35" xfId="0" applyFont="1" applyBorder="1" applyAlignment="1" applyProtection="1">
      <alignment horizontal="left"/>
      <protection locked="0"/>
    </xf>
    <xf numFmtId="0" fontId="46" fillId="0" borderId="9" xfId="0" applyFont="1" applyBorder="1" applyAlignment="1" applyProtection="1">
      <alignment horizontal="center"/>
      <protection locked="0"/>
    </xf>
    <xf numFmtId="0" fontId="46" fillId="0" borderId="21" xfId="0" applyFont="1" applyFill="1" applyBorder="1" applyAlignment="1" applyProtection="1">
      <alignment horizontal="left"/>
      <protection locked="0"/>
    </xf>
    <xf numFmtId="0" fontId="46" fillId="0" borderId="9" xfId="0" applyFont="1" applyFill="1" applyBorder="1" applyAlignment="1" applyProtection="1">
      <alignment horizontal="center"/>
      <protection locked="0"/>
    </xf>
    <xf numFmtId="0" fontId="46" fillId="0" borderId="35" xfId="0" applyFont="1" applyFill="1" applyBorder="1" applyAlignment="1" applyProtection="1">
      <alignment horizontal="left"/>
      <protection locked="0"/>
    </xf>
    <xf numFmtId="43" fontId="46" fillId="0" borderId="8" xfId="2" applyFont="1" applyFill="1" applyBorder="1" applyAlignment="1" applyProtection="1">
      <alignment horizontal="right"/>
    </xf>
    <xf numFmtId="0" fontId="47" fillId="0" borderId="21" xfId="0" applyFont="1" applyFill="1" applyBorder="1" applyAlignment="1" applyProtection="1">
      <alignment horizontal="left"/>
      <protection locked="0"/>
    </xf>
    <xf numFmtId="0" fontId="47" fillId="0" borderId="41" xfId="0" applyFont="1" applyFill="1" applyBorder="1" applyAlignment="1" applyProtection="1">
      <alignment horizontal="left"/>
      <protection locked="0"/>
    </xf>
    <xf numFmtId="0" fontId="46" fillId="0" borderId="30" xfId="0" applyFont="1" applyFill="1" applyBorder="1" applyAlignment="1" applyProtection="1">
      <alignment horizontal="center"/>
      <protection locked="0"/>
    </xf>
    <xf numFmtId="168" fontId="46" fillId="0" borderId="31" xfId="2" applyNumberFormat="1" applyFont="1" applyFill="1" applyBorder="1" applyAlignment="1" applyProtection="1">
      <alignment horizontal="right"/>
      <protection hidden="1"/>
    </xf>
    <xf numFmtId="0" fontId="46" fillId="0" borderId="8" xfId="0" applyFont="1" applyFill="1" applyBorder="1" applyAlignment="1" applyProtection="1">
      <alignment horizontal="left"/>
      <protection locked="0"/>
    </xf>
    <xf numFmtId="49" fontId="46" fillId="0" borderId="22" xfId="0" applyNumberFormat="1" applyFont="1" applyFill="1" applyBorder="1" applyAlignment="1" applyProtection="1">
      <alignment horizontal="center"/>
    </xf>
    <xf numFmtId="0" fontId="46" fillId="0" borderId="9" xfId="0" applyFont="1" applyFill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5" fillId="0" borderId="47" xfId="0" applyFont="1" applyBorder="1" applyAlignment="1" applyProtection="1">
      <alignment horizontal="center"/>
      <protection hidden="1"/>
    </xf>
    <xf numFmtId="0" fontId="25" fillId="0" borderId="15" xfId="0" applyFont="1" applyBorder="1" applyAlignment="1" applyProtection="1">
      <alignment horizontal="center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3" fillId="10" borderId="47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center"/>
      <protection hidden="1"/>
    </xf>
    <xf numFmtId="0" fontId="38" fillId="0" borderId="6" xfId="0" applyFont="1" applyBorder="1" applyAlignment="1" applyProtection="1">
      <alignment horizontal="center"/>
      <protection hidden="1"/>
    </xf>
    <xf numFmtId="0" fontId="38" fillId="0" borderId="12" xfId="0" applyFont="1" applyBorder="1" applyAlignment="1" applyProtection="1">
      <alignment horizontal="center"/>
      <protection hidden="1"/>
    </xf>
    <xf numFmtId="0" fontId="39" fillId="0" borderId="14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23" xfId="0" applyFont="1" applyBorder="1" applyAlignment="1" applyProtection="1">
      <alignment horizontal="center"/>
      <protection hidden="1"/>
    </xf>
    <xf numFmtId="0" fontId="38" fillId="0" borderId="14" xfId="0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23" xfId="0" applyFont="1" applyBorder="1" applyAlignment="1" applyProtection="1">
      <alignment horizontal="center"/>
      <protection hidden="1"/>
    </xf>
    <xf numFmtId="0" fontId="40" fillId="0" borderId="14" xfId="0" applyFont="1" applyBorder="1" applyAlignment="1" applyProtection="1">
      <alignment horizontal="center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40" fillId="0" borderId="23" xfId="0" applyFont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44" fillId="10" borderId="47" xfId="0" applyFont="1" applyFill="1" applyBorder="1" applyAlignment="1" applyProtection="1">
      <alignment horizontal="center"/>
    </xf>
    <xf numFmtId="0" fontId="44" fillId="10" borderId="15" xfId="0" applyFont="1" applyFill="1" applyBorder="1" applyAlignment="1" applyProtection="1">
      <alignment horizontal="center"/>
    </xf>
    <xf numFmtId="0" fontId="44" fillId="10" borderId="28" xfId="0" applyFont="1" applyFill="1" applyBorder="1" applyAlignment="1" applyProtection="1">
      <alignment horizontal="center"/>
    </xf>
    <xf numFmtId="0" fontId="48" fillId="2" borderId="0" xfId="0" applyFont="1" applyFill="1" applyBorder="1" applyAlignment="1" applyProtection="1">
      <alignment horizontal="center"/>
    </xf>
    <xf numFmtId="0" fontId="50" fillId="11" borderId="47" xfId="0" applyFont="1" applyFill="1" applyBorder="1" applyAlignment="1" applyProtection="1">
      <alignment horizontal="center"/>
    </xf>
    <xf numFmtId="0" fontId="50" fillId="11" borderId="15" xfId="0" applyFont="1" applyFill="1" applyBorder="1" applyAlignment="1" applyProtection="1">
      <alignment horizontal="center"/>
    </xf>
    <xf numFmtId="0" fontId="50" fillId="11" borderId="28" xfId="0" applyFont="1" applyFill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/>
      <protection locked="0"/>
    </xf>
    <xf numFmtId="0" fontId="48" fillId="2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/>
    </xf>
    <xf numFmtId="49" fontId="49" fillId="11" borderId="4" xfId="0" applyNumberFormat="1" applyFont="1" applyFill="1" applyBorder="1" applyAlignment="1" applyProtection="1">
      <alignment horizontal="center"/>
    </xf>
    <xf numFmtId="49" fontId="49" fillId="11" borderId="3" xfId="0" applyNumberFormat="1" applyFont="1" applyFill="1" applyBorder="1" applyAlignment="1" applyProtection="1">
      <alignment horizontal="center"/>
    </xf>
    <xf numFmtId="49" fontId="49" fillId="11" borderId="2" xfId="0" applyNumberFormat="1" applyFont="1" applyFill="1" applyBorder="1" applyAlignment="1" applyProtection="1">
      <alignment horizontal="center"/>
    </xf>
    <xf numFmtId="49" fontId="45" fillId="10" borderId="4" xfId="0" applyNumberFormat="1" applyFont="1" applyFill="1" applyBorder="1" applyAlignment="1" applyProtection="1">
      <alignment horizontal="center"/>
    </xf>
    <xf numFmtId="49" fontId="45" fillId="10" borderId="3" xfId="0" applyNumberFormat="1" applyFont="1" applyFill="1" applyBorder="1" applyAlignment="1" applyProtection="1">
      <alignment horizontal="center"/>
    </xf>
    <xf numFmtId="49" fontId="45" fillId="10" borderId="2" xfId="0" applyNumberFormat="1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  <protection locked="0"/>
    </xf>
    <xf numFmtId="0" fontId="43" fillId="2" borderId="11" xfId="0" applyFont="1" applyFill="1" applyBorder="1" applyAlignment="1" applyProtection="1">
      <alignment horizontal="center"/>
    </xf>
    <xf numFmtId="0" fontId="43" fillId="2" borderId="6" xfId="0" applyFont="1" applyFill="1" applyBorder="1" applyAlignment="1" applyProtection="1">
      <alignment horizontal="center"/>
    </xf>
    <xf numFmtId="0" fontId="43" fillId="2" borderId="12" xfId="0" applyFont="1" applyFill="1" applyBorder="1" applyAlignment="1" applyProtection="1">
      <alignment horizontal="center"/>
    </xf>
    <xf numFmtId="0" fontId="43" fillId="2" borderId="14" xfId="0" applyFont="1" applyFill="1" applyBorder="1" applyAlignment="1" applyProtection="1">
      <alignment horizontal="center"/>
      <protection locked="0"/>
    </xf>
    <xf numFmtId="0" fontId="43" fillId="2" borderId="0" xfId="0" applyFont="1" applyFill="1" applyBorder="1" applyAlignment="1" applyProtection="1">
      <alignment horizontal="center"/>
      <protection locked="0"/>
    </xf>
    <xf numFmtId="0" fontId="43" fillId="2" borderId="23" xfId="0" applyFont="1" applyFill="1" applyBorder="1" applyAlignment="1" applyProtection="1">
      <alignment horizontal="center"/>
      <protection locked="0"/>
    </xf>
    <xf numFmtId="0" fontId="44" fillId="11" borderId="47" xfId="0" applyFont="1" applyFill="1" applyBorder="1" applyAlignment="1" applyProtection="1">
      <alignment horizontal="center"/>
    </xf>
    <xf numFmtId="0" fontId="44" fillId="11" borderId="15" xfId="0" applyFont="1" applyFill="1" applyBorder="1" applyAlignment="1" applyProtection="1">
      <alignment horizontal="center"/>
    </xf>
    <xf numFmtId="0" fontId="44" fillId="11" borderId="28" xfId="0" applyFont="1" applyFill="1" applyBorder="1" applyAlignment="1" applyProtection="1">
      <alignment horizontal="center"/>
    </xf>
    <xf numFmtId="0" fontId="43" fillId="2" borderId="47" xfId="0" applyFont="1" applyFill="1" applyBorder="1" applyAlignment="1" applyProtection="1">
      <alignment horizontal="center"/>
      <protection locked="0"/>
    </xf>
    <xf numFmtId="0" fontId="43" fillId="2" borderId="15" xfId="0" applyFont="1" applyFill="1" applyBorder="1" applyAlignment="1" applyProtection="1">
      <alignment horizontal="center"/>
      <protection locked="0"/>
    </xf>
    <xf numFmtId="0" fontId="43" fillId="2" borderId="28" xfId="0" applyFont="1" applyFill="1" applyBorder="1" applyAlignment="1" applyProtection="1">
      <alignment horizontal="center"/>
      <protection locked="0"/>
    </xf>
    <xf numFmtId="49" fontId="45" fillId="11" borderId="4" xfId="0" applyNumberFormat="1" applyFont="1" applyFill="1" applyBorder="1" applyAlignment="1" applyProtection="1">
      <alignment horizontal="center"/>
    </xf>
    <xf numFmtId="49" fontId="45" fillId="11" borderId="3" xfId="0" applyNumberFormat="1" applyFont="1" applyFill="1" applyBorder="1" applyAlignment="1" applyProtection="1">
      <alignment horizontal="center"/>
    </xf>
    <xf numFmtId="49" fontId="45" fillId="11" borderId="2" xfId="0" applyNumberFormat="1" applyFont="1" applyFill="1" applyBorder="1" applyAlignment="1" applyProtection="1">
      <alignment horizontal="center"/>
    </xf>
    <xf numFmtId="0" fontId="43" fillId="2" borderId="14" xfId="0" applyFont="1" applyFill="1" applyBorder="1" applyAlignment="1" applyProtection="1">
      <alignment horizontal="center"/>
    </xf>
    <xf numFmtId="0" fontId="43" fillId="2" borderId="0" xfId="0" applyFont="1" applyFill="1" applyBorder="1" applyAlignment="1" applyProtection="1">
      <alignment horizontal="center"/>
    </xf>
    <xf numFmtId="0" fontId="43" fillId="2" borderId="23" xfId="0" applyFont="1" applyFill="1" applyBorder="1" applyAlignment="1" applyProtection="1">
      <alignment horizontal="center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2" fillId="0" borderId="14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3" xfId="0" applyFont="1" applyBorder="1" applyAlignment="1" applyProtection="1">
      <alignment horizontal="center"/>
      <protection hidden="1"/>
    </xf>
    <xf numFmtId="0" fontId="42" fillId="0" borderId="11" xfId="0" applyFont="1" applyBorder="1" applyAlignment="1" applyProtection="1">
      <alignment horizontal="center"/>
      <protection hidden="1"/>
    </xf>
    <xf numFmtId="0" fontId="42" fillId="0" borderId="6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center"/>
      <protection hidden="1"/>
    </xf>
    <xf numFmtId="0" fontId="16" fillId="0" borderId="27" xfId="0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0" fontId="42" fillId="0" borderId="47" xfId="0" applyFont="1" applyBorder="1" applyAlignment="1" applyProtection="1">
      <alignment horizontal="center"/>
      <protection hidden="1"/>
    </xf>
    <xf numFmtId="0" fontId="42" fillId="0" borderId="15" xfId="0" applyFont="1" applyBorder="1" applyAlignment="1" applyProtection="1">
      <alignment horizontal="center"/>
      <protection hidden="1"/>
    </xf>
    <xf numFmtId="0" fontId="42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0" fillId="0" borderId="11" xfId="0" applyFont="1" applyBorder="1" applyAlignment="1" applyProtection="1">
      <alignment horizontal="center"/>
    </xf>
    <xf numFmtId="0" fontId="40" fillId="0" borderId="6" xfId="0" applyFont="1" applyBorder="1" applyAlignment="1" applyProtection="1">
      <alignment horizontal="center"/>
    </xf>
    <xf numFmtId="0" fontId="40" fillId="0" borderId="12" xfId="0" applyFont="1" applyBorder="1" applyAlignment="1" applyProtection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"/>
      <protection locked="0"/>
    </xf>
    <xf numFmtId="0" fontId="3" fillId="10" borderId="47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3" t="s">
        <v>91</v>
      </c>
    </row>
    <row r="4" spans="1:1" x14ac:dyDescent="0.25">
      <c r="A4" s="33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41"/>
  <sheetViews>
    <sheetView topLeftCell="A18" workbookViewId="0">
      <selection activeCell="B3" sqref="B3:M21"/>
    </sheetView>
  </sheetViews>
  <sheetFormatPr baseColWidth="10" defaultColWidth="11.44140625" defaultRowHeight="13.2" x14ac:dyDescent="0.25"/>
  <cols>
    <col min="1" max="1" width="5.88671875" style="13" customWidth="1"/>
    <col min="2" max="2" width="5.33203125" style="195" customWidth="1"/>
    <col min="3" max="3" width="44" style="13" customWidth="1"/>
    <col min="4" max="4" width="12.33203125" style="13" customWidth="1"/>
    <col min="5" max="5" width="5.5546875" style="13" customWidth="1"/>
    <col min="6" max="6" width="13.109375" style="13" customWidth="1"/>
    <col min="7" max="7" width="13.5546875" style="13" bestFit="1" customWidth="1"/>
    <col min="8" max="8" width="11.88671875" style="13" hidden="1" customWidth="1"/>
    <col min="9" max="9" width="11.88671875" style="13" bestFit="1" customWidth="1"/>
    <col min="10" max="10" width="10.88671875" style="13" hidden="1" customWidth="1"/>
    <col min="11" max="11" width="11" style="13" customWidth="1"/>
    <col min="12" max="12" width="13.5546875" style="13" bestFit="1" customWidth="1"/>
    <col min="13" max="13" width="65.88671875" style="13" customWidth="1"/>
    <col min="14" max="16384" width="11.44140625" style="13"/>
  </cols>
  <sheetData>
    <row r="1" spans="2:15" ht="5.25" customHeight="1" x14ac:dyDescent="0.25"/>
    <row r="2" spans="2:15" ht="5.25" customHeight="1" x14ac:dyDescent="0.25">
      <c r="B2" s="275"/>
      <c r="C2" s="276"/>
      <c r="D2" s="276"/>
      <c r="E2" s="276"/>
      <c r="F2" s="276"/>
      <c r="G2" s="276"/>
      <c r="H2" s="276"/>
      <c r="I2" s="276"/>
      <c r="J2" s="276"/>
      <c r="K2" s="276"/>
      <c r="L2" s="277"/>
      <c r="M2" s="26"/>
    </row>
    <row r="3" spans="2:15" ht="21" x14ac:dyDescent="0.5">
      <c r="B3" s="533" t="s">
        <v>278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5"/>
    </row>
    <row r="4" spans="2:15" ht="21" x14ac:dyDescent="0.5">
      <c r="B4" s="539" t="s">
        <v>138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1"/>
    </row>
    <row r="5" spans="2:15" ht="18.600000000000001" x14ac:dyDescent="0.45">
      <c r="B5" s="536" t="s">
        <v>452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8"/>
    </row>
    <row r="6" spans="2:15" ht="16.2" x14ac:dyDescent="0.3">
      <c r="B6" s="528"/>
      <c r="C6" s="529"/>
      <c r="D6" s="529"/>
      <c r="E6" s="529"/>
      <c r="F6" s="529"/>
      <c r="G6" s="529"/>
      <c r="H6" s="529"/>
      <c r="I6" s="529"/>
      <c r="J6" s="529"/>
      <c r="K6" s="529"/>
      <c r="L6" s="530"/>
      <c r="M6" s="75"/>
    </row>
    <row r="7" spans="2:15" x14ac:dyDescent="0.25">
      <c r="B7" s="278"/>
      <c r="C7" s="279"/>
      <c r="D7" s="279"/>
      <c r="E7" s="280" t="s">
        <v>4</v>
      </c>
      <c r="F7" s="280"/>
      <c r="G7" s="281"/>
      <c r="H7" s="531"/>
      <c r="I7" s="532"/>
      <c r="J7" s="532"/>
      <c r="K7" s="532"/>
      <c r="L7" s="532"/>
      <c r="M7" s="282"/>
    </row>
    <row r="8" spans="2:15" ht="12.75" customHeight="1" x14ac:dyDescent="0.25">
      <c r="B8" s="283" t="s">
        <v>3</v>
      </c>
      <c r="C8" s="280"/>
      <c r="D8" s="280"/>
      <c r="E8" s="284" t="s">
        <v>5</v>
      </c>
      <c r="F8" s="285" t="s">
        <v>1</v>
      </c>
      <c r="G8" s="286" t="s">
        <v>124</v>
      </c>
      <c r="H8" s="286"/>
      <c r="I8" s="286" t="s">
        <v>128</v>
      </c>
      <c r="J8" s="286" t="s">
        <v>119</v>
      </c>
      <c r="K8" s="286"/>
      <c r="L8" s="286" t="s">
        <v>2</v>
      </c>
      <c r="M8" s="286"/>
    </row>
    <row r="9" spans="2:15" ht="13.8" x14ac:dyDescent="0.25">
      <c r="B9" s="287"/>
      <c r="C9" s="288"/>
      <c r="D9" s="289" t="s">
        <v>10</v>
      </c>
      <c r="E9" s="280"/>
      <c r="F9" s="280" t="s">
        <v>126</v>
      </c>
      <c r="G9" s="285" t="s">
        <v>127</v>
      </c>
      <c r="H9" s="286" t="s">
        <v>118</v>
      </c>
      <c r="I9" s="285" t="s">
        <v>129</v>
      </c>
      <c r="J9" s="285" t="s">
        <v>120</v>
      </c>
      <c r="K9" s="285" t="s">
        <v>130</v>
      </c>
      <c r="L9" s="285" t="s">
        <v>121</v>
      </c>
      <c r="M9" s="286" t="s">
        <v>131</v>
      </c>
    </row>
    <row r="10" spans="2:15" ht="13.8" x14ac:dyDescent="0.25">
      <c r="B10" s="283"/>
      <c r="C10" s="290" t="s">
        <v>81</v>
      </c>
      <c r="D10" s="291" t="s">
        <v>9</v>
      </c>
      <c r="E10" s="286"/>
      <c r="F10" s="286"/>
      <c r="G10" s="286"/>
      <c r="H10" s="286"/>
      <c r="I10" s="286"/>
      <c r="J10" s="286"/>
      <c r="K10" s="286"/>
      <c r="L10" s="286"/>
      <c r="M10" s="286"/>
    </row>
    <row r="11" spans="2:15" ht="13.8" x14ac:dyDescent="0.25">
      <c r="B11" s="196"/>
      <c r="C11" s="15"/>
      <c r="D11" s="15"/>
      <c r="E11" s="14"/>
      <c r="F11" s="14"/>
      <c r="G11" s="14"/>
      <c r="H11" s="14"/>
      <c r="I11" s="14"/>
      <c r="J11" s="14"/>
      <c r="K11" s="14"/>
      <c r="L11" s="14"/>
      <c r="M11" s="44"/>
    </row>
    <row r="12" spans="2:15" ht="35.1" customHeight="1" x14ac:dyDescent="0.25">
      <c r="B12" s="197" t="s">
        <v>439</v>
      </c>
      <c r="C12" s="3" t="s">
        <v>285</v>
      </c>
      <c r="D12" s="3" t="s">
        <v>67</v>
      </c>
      <c r="E12" s="4">
        <v>15</v>
      </c>
      <c r="F12" s="17">
        <v>10954</v>
      </c>
      <c r="G12" s="17">
        <f>ROUND(F12/15*E12,2)</f>
        <v>10954</v>
      </c>
      <c r="H12" s="17"/>
      <c r="I12" s="17">
        <f t="shared" ref="I12:I18" si="0">IF(ROUND((((G12/E12*30.4)-VLOOKUP((G12/E12*30.4),TARIFA,1))*VLOOKUP((G12/E12*30.4),TARIFA,3)+VLOOKUP((G12/E12*30.4),TARIFA,2)-VLOOKUP((G12/E12*30.4),SUBSIDIO,2))/30.4*E12,2)&lt;0,ROUND(-(((G12/E12*30.4)-VLOOKUP((G12/E12*30.4),TARIFA,1))*VLOOKUP((G12/E12*30.4),TARIFA,3)+VLOOKUP((G12/E12*30.4),TARIFA,2)-VLOOKUP((G12/E12*30.4),SUBSIDIO,2))/30.4*E12,2),0)</f>
        <v>0</v>
      </c>
      <c r="J12" s="194"/>
      <c r="K12" s="17">
        <f t="shared" ref="K12:K20" si="1">IFERROR(IF(ROUND((((G12/E12*30.4)-VLOOKUP((G12/E12*30.4),TARIFA,1))*VLOOKUP((G12/E12*30.4),TARIFA,3)+VLOOKUP((G12/E12*30.4),TARIFA,2)-VLOOKUP((G12/E12*30.4),SUBSIDIO,2))/30.4*E12,2)&gt;0,ROUND((((G12/E12*30.4)-VLOOKUP((G12/E12*30.4),TARIFA,1))*VLOOKUP((G12/E12*30.4),TARIFA,3)+VLOOKUP((G12/E12*30.4),TARIFA,2)-VLOOKUP((G12/E12*30.4),SUBSIDIO,2))/30.4*E12,2),0),0)</f>
        <v>1628.67</v>
      </c>
      <c r="L12" s="17">
        <f>G12-K12</f>
        <v>9325.33</v>
      </c>
      <c r="M12" s="44"/>
      <c r="N12" s="42"/>
      <c r="O12" s="43"/>
    </row>
    <row r="13" spans="2:15" ht="35.1" customHeight="1" x14ac:dyDescent="0.25">
      <c r="B13" s="197" t="s">
        <v>440</v>
      </c>
      <c r="C13" s="3" t="s">
        <v>297</v>
      </c>
      <c r="D13" s="3" t="s">
        <v>67</v>
      </c>
      <c r="E13" s="4">
        <v>15</v>
      </c>
      <c r="F13" s="17">
        <v>10954</v>
      </c>
      <c r="G13" s="17">
        <f t="shared" ref="G13:G21" si="2">ROUND(F13/15*E13,2)</f>
        <v>10954</v>
      </c>
      <c r="H13" s="17"/>
      <c r="I13" s="17">
        <f t="shared" si="0"/>
        <v>0</v>
      </c>
      <c r="J13" s="194"/>
      <c r="K13" s="17">
        <f t="shared" si="1"/>
        <v>1628.67</v>
      </c>
      <c r="L13" s="17">
        <f t="shared" ref="L13:L21" si="3">G13-K13</f>
        <v>9325.33</v>
      </c>
      <c r="M13" s="44"/>
      <c r="N13" s="42"/>
      <c r="O13" s="43"/>
    </row>
    <row r="14" spans="2:15" ht="35.1" customHeight="1" x14ac:dyDescent="0.25">
      <c r="B14" s="197" t="s">
        <v>441</v>
      </c>
      <c r="C14" s="3" t="s">
        <v>286</v>
      </c>
      <c r="D14" s="3" t="s">
        <v>67</v>
      </c>
      <c r="E14" s="4">
        <v>15</v>
      </c>
      <c r="F14" s="17">
        <v>10954</v>
      </c>
      <c r="G14" s="17">
        <f t="shared" si="2"/>
        <v>10954</v>
      </c>
      <c r="H14" s="17"/>
      <c r="I14" s="17">
        <f t="shared" si="0"/>
        <v>0</v>
      </c>
      <c r="J14" s="194"/>
      <c r="K14" s="17">
        <f t="shared" si="1"/>
        <v>1628.67</v>
      </c>
      <c r="L14" s="17">
        <f t="shared" si="3"/>
        <v>9325.33</v>
      </c>
      <c r="M14" s="44"/>
      <c r="N14" s="42"/>
      <c r="O14" s="43"/>
    </row>
    <row r="15" spans="2:15" ht="35.1" customHeight="1" x14ac:dyDescent="0.25">
      <c r="B15" s="197" t="s">
        <v>442</v>
      </c>
      <c r="C15" s="3" t="s">
        <v>287</v>
      </c>
      <c r="D15" s="3" t="s">
        <v>67</v>
      </c>
      <c r="E15" s="4">
        <v>15</v>
      </c>
      <c r="F15" s="17">
        <v>10954</v>
      </c>
      <c r="G15" s="17">
        <f t="shared" si="2"/>
        <v>10954</v>
      </c>
      <c r="H15" s="17"/>
      <c r="I15" s="17">
        <f t="shared" si="0"/>
        <v>0</v>
      </c>
      <c r="J15" s="194"/>
      <c r="K15" s="17">
        <f t="shared" si="1"/>
        <v>1628.67</v>
      </c>
      <c r="L15" s="17">
        <f t="shared" si="3"/>
        <v>9325.33</v>
      </c>
      <c r="M15" s="44"/>
      <c r="N15" s="42"/>
      <c r="O15" s="43"/>
    </row>
    <row r="16" spans="2:15" ht="35.1" customHeight="1" x14ac:dyDescent="0.25">
      <c r="B16" s="197" t="s">
        <v>443</v>
      </c>
      <c r="C16" s="3" t="s">
        <v>288</v>
      </c>
      <c r="D16" s="3" t="s">
        <v>67</v>
      </c>
      <c r="E16" s="4">
        <v>15</v>
      </c>
      <c r="F16" s="17">
        <v>10954</v>
      </c>
      <c r="G16" s="17">
        <f t="shared" si="2"/>
        <v>10954</v>
      </c>
      <c r="H16" s="17"/>
      <c r="I16" s="17">
        <v>0</v>
      </c>
      <c r="J16" s="194"/>
      <c r="K16" s="17">
        <f t="shared" si="1"/>
        <v>1628.67</v>
      </c>
      <c r="L16" s="17">
        <f t="shared" si="3"/>
        <v>9325.33</v>
      </c>
      <c r="M16" s="44"/>
      <c r="N16" s="42"/>
      <c r="O16" s="43"/>
    </row>
    <row r="17" spans="2:15" ht="35.1" customHeight="1" x14ac:dyDescent="0.25">
      <c r="B17" s="197" t="s">
        <v>444</v>
      </c>
      <c r="C17" s="3" t="s">
        <v>298</v>
      </c>
      <c r="D17" s="3" t="s">
        <v>67</v>
      </c>
      <c r="E17" s="4">
        <v>15</v>
      </c>
      <c r="F17" s="17">
        <v>10954</v>
      </c>
      <c r="G17" s="17">
        <f t="shared" si="2"/>
        <v>10954</v>
      </c>
      <c r="H17" s="17"/>
      <c r="I17" s="17">
        <f t="shared" si="0"/>
        <v>0</v>
      </c>
      <c r="J17" s="194"/>
      <c r="K17" s="17">
        <f t="shared" si="1"/>
        <v>1628.67</v>
      </c>
      <c r="L17" s="17">
        <f t="shared" si="3"/>
        <v>9325.33</v>
      </c>
      <c r="M17" s="44"/>
      <c r="N17" s="42"/>
      <c r="O17" s="43"/>
    </row>
    <row r="18" spans="2:15" ht="35.1" customHeight="1" x14ac:dyDescent="0.25">
      <c r="B18" s="197" t="s">
        <v>283</v>
      </c>
      <c r="C18" s="3" t="s">
        <v>289</v>
      </c>
      <c r="D18" s="3" t="s">
        <v>67</v>
      </c>
      <c r="E18" s="4">
        <v>15</v>
      </c>
      <c r="F18" s="17">
        <v>10954</v>
      </c>
      <c r="G18" s="17">
        <f t="shared" si="2"/>
        <v>10954</v>
      </c>
      <c r="H18" s="17"/>
      <c r="I18" s="17">
        <f t="shared" si="0"/>
        <v>0</v>
      </c>
      <c r="J18" s="194"/>
      <c r="K18" s="17">
        <f t="shared" si="1"/>
        <v>1628.67</v>
      </c>
      <c r="L18" s="17">
        <f t="shared" si="3"/>
        <v>9325.33</v>
      </c>
      <c r="M18" s="44"/>
      <c r="N18" s="42"/>
      <c r="O18" s="43"/>
    </row>
    <row r="19" spans="2:15" ht="35.1" customHeight="1" x14ac:dyDescent="0.25">
      <c r="B19" s="197" t="s">
        <v>445</v>
      </c>
      <c r="C19" s="3" t="s">
        <v>290</v>
      </c>
      <c r="D19" s="3" t="s">
        <v>67</v>
      </c>
      <c r="E19" s="4">
        <v>15</v>
      </c>
      <c r="F19" s="17">
        <v>10954</v>
      </c>
      <c r="G19" s="17">
        <f t="shared" si="2"/>
        <v>10954</v>
      </c>
      <c r="H19" s="17"/>
      <c r="I19" s="17">
        <v>0</v>
      </c>
      <c r="J19" s="194"/>
      <c r="K19" s="17">
        <f t="shared" si="1"/>
        <v>1628.67</v>
      </c>
      <c r="L19" s="17">
        <f t="shared" si="3"/>
        <v>9325.33</v>
      </c>
      <c r="M19" s="44"/>
      <c r="N19" s="42"/>
      <c r="O19" s="43"/>
    </row>
    <row r="20" spans="2:15" ht="35.1" customHeight="1" x14ac:dyDescent="0.25">
      <c r="B20" s="249" t="s">
        <v>206</v>
      </c>
      <c r="C20" s="3" t="s">
        <v>149</v>
      </c>
      <c r="D20" s="3" t="s">
        <v>67</v>
      </c>
      <c r="E20" s="4">
        <v>15</v>
      </c>
      <c r="F20" s="17">
        <v>10954</v>
      </c>
      <c r="G20" s="17">
        <f t="shared" si="2"/>
        <v>10954</v>
      </c>
      <c r="H20" s="17"/>
      <c r="I20" s="17">
        <v>0</v>
      </c>
      <c r="J20" s="194"/>
      <c r="K20" s="17">
        <f t="shared" si="1"/>
        <v>1628.67</v>
      </c>
      <c r="L20" s="17">
        <f t="shared" si="3"/>
        <v>9325.33</v>
      </c>
      <c r="M20" s="44"/>
      <c r="N20" s="42"/>
      <c r="O20" s="43"/>
    </row>
    <row r="21" spans="2:15" ht="35.1" customHeight="1" x14ac:dyDescent="0.25">
      <c r="B21" s="250" t="s">
        <v>446</v>
      </c>
      <c r="C21" s="3" t="s">
        <v>291</v>
      </c>
      <c r="D21" s="3" t="s">
        <v>68</v>
      </c>
      <c r="E21" s="4">
        <v>15</v>
      </c>
      <c r="F21" s="17">
        <v>17975</v>
      </c>
      <c r="G21" s="17">
        <f t="shared" si="2"/>
        <v>17975</v>
      </c>
      <c r="H21" s="17"/>
      <c r="I21" s="17">
        <f t="shared" ref="I21" si="4">IF(ROUND((((G21/E21*30.4)-VLOOKUP((G21/E21*30.4),TARIFA,1))*VLOOKUP((G21/E21*30.4),TARIFA,3)+VLOOKUP((G21/E21*30.4),TARIFA,2)-VLOOKUP((G21/E21*30.4),SUBSIDIO,2))/30.4*E21,2)&lt;0,ROUND(-(((G21/E21*30.4)-VLOOKUP((G21/E21*30.4),TARIFA,1))*VLOOKUP((G21/E21*30.4),TARIFA,3)+VLOOKUP((G21/E21*30.4),TARIFA,2)-VLOOKUP((G21/E21*30.4),SUBSIDIO,2))/30.4*E21,2),0)</f>
        <v>0</v>
      </c>
      <c r="J21" s="194"/>
      <c r="K21" s="17">
        <f t="shared" ref="K21" si="5">IFERROR(IF(ROUND((((G21/E21*30.4)-VLOOKUP((G21/E21*30.4),TARIFA,1))*VLOOKUP((G21/E21*30.4),TARIFA,3)+VLOOKUP((G21/E21*30.4),TARIFA,2)-VLOOKUP((G21/E21*30.4),SUBSIDIO,2))/30.4*E21,2)&gt;0,ROUND((((G21/E21*30.4)-VLOOKUP((G21/E21*30.4),TARIFA,1))*VLOOKUP((G21/E21*30.4),TARIFA,3)+VLOOKUP((G21/E21*30.4),TARIFA,2)-VLOOKUP((G21/E21*30.4),SUBSIDIO,2))/30.4*E21,2),0),0)</f>
        <v>3228.98</v>
      </c>
      <c r="L21" s="17">
        <f t="shared" si="3"/>
        <v>14746.02</v>
      </c>
      <c r="M21" s="44"/>
      <c r="N21" s="42"/>
      <c r="O21" s="43"/>
    </row>
    <row r="22" spans="2:15" x14ac:dyDescent="0.25">
      <c r="B22" s="198"/>
      <c r="C22" s="20"/>
      <c r="D22" s="20"/>
      <c r="E22" s="21"/>
      <c r="F22" s="23"/>
      <c r="G22" s="24"/>
      <c r="H22" s="24"/>
      <c r="I22" s="24"/>
      <c r="J22" s="24"/>
      <c r="K22" s="24"/>
      <c r="L22" s="24"/>
      <c r="M22" s="34"/>
    </row>
    <row r="23" spans="2:15" ht="14.4" thickBot="1" x14ac:dyDescent="0.3">
      <c r="B23" s="526" t="s">
        <v>61</v>
      </c>
      <c r="C23" s="527"/>
      <c r="D23" s="527"/>
      <c r="E23" s="527"/>
      <c r="F23" s="74">
        <f t="shared" ref="F23:K23" si="6">SUM(F12:F21)</f>
        <v>116561</v>
      </c>
      <c r="G23" s="74">
        <f t="shared" si="6"/>
        <v>116561</v>
      </c>
      <c r="H23" s="74">
        <f t="shared" si="6"/>
        <v>0</v>
      </c>
      <c r="I23" s="74">
        <f t="shared" si="6"/>
        <v>0</v>
      </c>
      <c r="J23" s="74">
        <f t="shared" si="6"/>
        <v>0</v>
      </c>
      <c r="K23" s="74">
        <f t="shared" si="6"/>
        <v>17887.010000000002</v>
      </c>
      <c r="L23" s="74">
        <f>SUM(L12:L21)</f>
        <v>98673.99</v>
      </c>
      <c r="M23" s="25"/>
    </row>
    <row r="24" spans="2:15" ht="14.4" thickTop="1" x14ac:dyDescent="0.25">
      <c r="B24" s="199"/>
      <c r="C24" s="76"/>
      <c r="D24" s="76"/>
      <c r="E24" s="76"/>
      <c r="F24" s="78"/>
      <c r="G24" s="78"/>
      <c r="H24" s="78"/>
      <c r="I24" s="78"/>
      <c r="J24" s="78"/>
      <c r="K24" s="78"/>
      <c r="L24" s="78"/>
      <c r="M24" s="77"/>
    </row>
    <row r="25" spans="2:15" ht="13.8" x14ac:dyDescent="0.25">
      <c r="B25" s="199"/>
      <c r="C25" s="76"/>
      <c r="D25" s="76"/>
      <c r="E25" s="76"/>
      <c r="F25" s="78"/>
      <c r="G25" s="78"/>
      <c r="H25" s="78"/>
      <c r="I25" s="78"/>
      <c r="J25" s="78"/>
      <c r="K25" s="78"/>
      <c r="L25" s="78"/>
      <c r="M25" s="77"/>
    </row>
    <row r="26" spans="2:15" ht="13.8" x14ac:dyDescent="0.25">
      <c r="B26" s="199"/>
      <c r="C26" s="76"/>
      <c r="D26" s="76"/>
      <c r="E26" s="76"/>
      <c r="F26" s="78"/>
      <c r="G26" s="78"/>
      <c r="H26" s="78"/>
      <c r="I26" s="78"/>
      <c r="J26" s="78"/>
      <c r="K26" s="78"/>
      <c r="L26" s="78"/>
      <c r="M26" s="77"/>
    </row>
    <row r="27" spans="2:15" ht="13.8" x14ac:dyDescent="0.25">
      <c r="B27" s="199"/>
      <c r="C27" s="76"/>
      <c r="D27" s="76"/>
      <c r="E27" s="76"/>
      <c r="F27" s="78"/>
      <c r="G27" s="78"/>
      <c r="H27" s="78"/>
      <c r="I27" s="78"/>
      <c r="J27" s="78"/>
      <c r="K27" s="78"/>
      <c r="L27" s="78"/>
      <c r="M27" s="77"/>
    </row>
    <row r="28" spans="2:15" ht="13.8" x14ac:dyDescent="0.25">
      <c r="B28" s="199"/>
      <c r="C28" s="76"/>
      <c r="D28" s="76"/>
      <c r="E28" s="76"/>
      <c r="F28" s="78"/>
      <c r="G28" s="78"/>
      <c r="H28" s="78"/>
      <c r="I28" s="78"/>
      <c r="J28" s="78"/>
      <c r="K28" s="78"/>
      <c r="L28" s="78"/>
      <c r="M28" s="77"/>
    </row>
    <row r="31" spans="2:15" x14ac:dyDescent="0.25">
      <c r="C31" s="26" t="s">
        <v>99</v>
      </c>
      <c r="L31" s="26" t="s">
        <v>99</v>
      </c>
    </row>
    <row r="32" spans="2:15" x14ac:dyDescent="0.25">
      <c r="C32" s="26" t="s">
        <v>292</v>
      </c>
      <c r="L32" s="13" t="s">
        <v>293</v>
      </c>
    </row>
    <row r="33" spans="2:12" x14ac:dyDescent="0.25">
      <c r="C33" s="27" t="s">
        <v>11</v>
      </c>
      <c r="F33" s="27"/>
      <c r="G33" s="27"/>
      <c r="H33" s="27"/>
      <c r="I33" s="27"/>
      <c r="J33" s="27"/>
      <c r="K33" s="27"/>
      <c r="L33" s="27" t="s">
        <v>294</v>
      </c>
    </row>
    <row r="35" spans="2:12" x14ac:dyDescent="0.25">
      <c r="C35" s="30"/>
      <c r="E35" s="26"/>
    </row>
    <row r="36" spans="2:12" x14ac:dyDescent="0.25">
      <c r="B36" s="200"/>
      <c r="C36" s="31"/>
      <c r="D36" s="27"/>
      <c r="E36" s="27"/>
      <c r="F36" s="27"/>
      <c r="G36" s="27"/>
      <c r="H36" s="27"/>
      <c r="I36" s="27"/>
      <c r="J36" s="27"/>
      <c r="K36" s="27"/>
      <c r="L36" s="27"/>
    </row>
    <row r="40" spans="2:12" x14ac:dyDescent="0.25">
      <c r="C40" s="26"/>
    </row>
    <row r="41" spans="2:12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sheetProtection selectLockedCells="1" selectUnlockedCells="1"/>
  <mergeCells count="6">
    <mergeCell ref="B23:E23"/>
    <mergeCell ref="B6:L6"/>
    <mergeCell ref="H7:L7"/>
    <mergeCell ref="B3:M3"/>
    <mergeCell ref="B5:M5"/>
    <mergeCell ref="B4:M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R147"/>
  <sheetViews>
    <sheetView topLeftCell="A103" zoomScaleNormal="100" workbookViewId="0">
      <selection activeCell="D97" sqref="D97:M107"/>
    </sheetView>
  </sheetViews>
  <sheetFormatPr baseColWidth="10" defaultColWidth="11.44140625" defaultRowHeight="13.2" x14ac:dyDescent="0.25"/>
  <cols>
    <col min="1" max="1" width="10.33203125" style="13" customWidth="1"/>
    <col min="2" max="2" width="5.33203125" style="13" customWidth="1"/>
    <col min="3" max="3" width="3.88671875" style="13" hidden="1" customWidth="1"/>
    <col min="4" max="4" width="4.6640625" style="213" customWidth="1"/>
    <col min="5" max="5" width="50.109375" style="13" customWidth="1"/>
    <col min="6" max="6" width="42.6640625" style="13" customWidth="1"/>
    <col min="7" max="7" width="6.5546875" style="13" customWidth="1"/>
    <col min="8" max="8" width="13.33203125" style="13" bestFit="1" customWidth="1"/>
    <col min="9" max="9" width="14.6640625" style="13" bestFit="1" customWidth="1"/>
    <col min="10" max="10" width="12" style="42" bestFit="1" customWidth="1"/>
    <col min="11" max="11" width="12" style="13" bestFit="1" customWidth="1"/>
    <col min="12" max="12" width="11.33203125" style="13" hidden="1" customWidth="1"/>
    <col min="13" max="13" width="14.6640625" style="13" bestFit="1" customWidth="1"/>
    <col min="14" max="14" width="58.109375" style="13" customWidth="1"/>
    <col min="15" max="16" width="11.44140625" style="13"/>
    <col min="17" max="17" width="12.88671875" style="13" bestFit="1" customWidth="1"/>
    <col min="18" max="16384" width="11.44140625" style="13"/>
  </cols>
  <sheetData>
    <row r="2" spans="4:18" x14ac:dyDescent="0.25">
      <c r="D2" s="201"/>
      <c r="E2" s="38"/>
      <c r="F2" s="38"/>
      <c r="G2" s="38"/>
      <c r="H2" s="38"/>
      <c r="I2" s="38"/>
      <c r="J2" s="214"/>
      <c r="K2" s="38"/>
      <c r="L2" s="38"/>
      <c r="M2" s="38"/>
      <c r="N2" s="39"/>
      <c r="Q2" s="42"/>
    </row>
    <row r="3" spans="4:18" ht="18" customHeight="1" x14ac:dyDescent="0.3">
      <c r="D3" s="542" t="s">
        <v>12</v>
      </c>
      <c r="E3" s="543"/>
      <c r="F3" s="543"/>
      <c r="G3" s="543"/>
      <c r="H3" s="543"/>
      <c r="I3" s="543"/>
      <c r="J3" s="543"/>
      <c r="K3" s="543"/>
      <c r="L3" s="543"/>
      <c r="M3" s="543"/>
      <c r="N3" s="544"/>
      <c r="Q3" s="42"/>
    </row>
    <row r="4" spans="4:18" ht="18" customHeight="1" x14ac:dyDescent="0.3">
      <c r="D4" s="542" t="s">
        <v>138</v>
      </c>
      <c r="E4" s="543"/>
      <c r="F4" s="543"/>
      <c r="G4" s="543"/>
      <c r="H4" s="543"/>
      <c r="I4" s="543"/>
      <c r="J4" s="543"/>
      <c r="K4" s="543"/>
      <c r="L4" s="543"/>
      <c r="M4" s="543"/>
      <c r="N4" s="544"/>
      <c r="Q4" s="42"/>
    </row>
    <row r="5" spans="4:18" ht="18" customHeight="1" x14ac:dyDescent="0.3">
      <c r="D5" s="542" t="s">
        <v>451</v>
      </c>
      <c r="E5" s="543"/>
      <c r="F5" s="543"/>
      <c r="G5" s="543"/>
      <c r="H5" s="543"/>
      <c r="I5" s="543"/>
      <c r="J5" s="543"/>
      <c r="K5" s="543"/>
      <c r="L5" s="543"/>
      <c r="M5" s="543"/>
      <c r="N5" s="544"/>
      <c r="Q5" s="42"/>
    </row>
    <row r="6" spans="4:18" ht="18" customHeight="1" x14ac:dyDescent="0.3">
      <c r="D6" s="542" t="s">
        <v>122</v>
      </c>
      <c r="E6" s="543"/>
      <c r="F6" s="543"/>
      <c r="G6" s="543"/>
      <c r="H6" s="543"/>
      <c r="I6" s="543"/>
      <c r="J6" s="543"/>
      <c r="K6" s="543"/>
      <c r="L6" s="543"/>
      <c r="M6" s="543"/>
      <c r="N6" s="544"/>
    </row>
    <row r="7" spans="4:18" x14ac:dyDescent="0.25">
      <c r="D7" s="292"/>
      <c r="E7" s="293"/>
      <c r="F7" s="293"/>
      <c r="G7" s="285" t="s">
        <v>4</v>
      </c>
      <c r="H7" s="294"/>
      <c r="I7" s="546" t="s">
        <v>453</v>
      </c>
      <c r="J7" s="548"/>
      <c r="K7" s="546"/>
      <c r="L7" s="547"/>
      <c r="M7" s="547"/>
      <c r="N7" s="285"/>
    </row>
    <row r="8" spans="4:18" ht="12.75" customHeight="1" x14ac:dyDescent="0.25">
      <c r="D8" s="295" t="s">
        <v>3</v>
      </c>
      <c r="E8" s="280"/>
      <c r="F8" s="280"/>
      <c r="G8" s="284" t="s">
        <v>5</v>
      </c>
      <c r="H8" s="285" t="s">
        <v>1</v>
      </c>
      <c r="I8" s="285" t="s">
        <v>124</v>
      </c>
      <c r="J8" s="296" t="s">
        <v>128</v>
      </c>
      <c r="K8" s="286"/>
      <c r="L8" s="286" t="s">
        <v>143</v>
      </c>
      <c r="M8" s="286" t="s">
        <v>127</v>
      </c>
      <c r="N8" s="280" t="s">
        <v>132</v>
      </c>
    </row>
    <row r="9" spans="4:18" ht="13.8" x14ac:dyDescent="0.25">
      <c r="D9" s="297"/>
      <c r="E9" s="288"/>
      <c r="F9" s="288" t="s">
        <v>10</v>
      </c>
      <c r="G9" s="280"/>
      <c r="H9" s="280" t="s">
        <v>7</v>
      </c>
      <c r="I9" s="280" t="s">
        <v>127</v>
      </c>
      <c r="J9" s="298" t="s">
        <v>129</v>
      </c>
      <c r="K9" s="285" t="s">
        <v>130</v>
      </c>
      <c r="L9" s="285" t="s">
        <v>144</v>
      </c>
      <c r="M9" s="285" t="s">
        <v>133</v>
      </c>
      <c r="N9" s="280"/>
    </row>
    <row r="10" spans="4:18" ht="13.8" x14ac:dyDescent="0.25">
      <c r="D10" s="299"/>
      <c r="E10" s="290" t="s">
        <v>13</v>
      </c>
      <c r="F10" s="290" t="s">
        <v>9</v>
      </c>
      <c r="G10" s="286"/>
      <c r="H10" s="286"/>
      <c r="I10" s="286"/>
      <c r="J10" s="300"/>
      <c r="K10" s="286"/>
      <c r="L10" s="286"/>
      <c r="M10" s="286"/>
      <c r="N10" s="286"/>
    </row>
    <row r="11" spans="4:18" s="16" customFormat="1" ht="15.6" x14ac:dyDescent="0.3">
      <c r="D11" s="202"/>
      <c r="E11" s="85" t="s">
        <v>19</v>
      </c>
      <c r="F11" s="85"/>
      <c r="G11" s="85"/>
      <c r="H11" s="85"/>
      <c r="I11" s="85"/>
      <c r="J11" s="215"/>
      <c r="K11" s="85"/>
      <c r="L11" s="85"/>
      <c r="M11" s="85"/>
      <c r="N11" s="14"/>
    </row>
    <row r="12" spans="4:18" ht="32.1" customHeight="1" x14ac:dyDescent="0.25">
      <c r="D12" s="208" t="s">
        <v>447</v>
      </c>
      <c r="E12" s="94" t="s">
        <v>295</v>
      </c>
      <c r="F12" s="94" t="s">
        <v>296</v>
      </c>
      <c r="G12" s="93">
        <v>15</v>
      </c>
      <c r="H12" s="89">
        <v>23132</v>
      </c>
      <c r="I12" s="89">
        <f>ROUND(H12/15*G12,2)</f>
        <v>23132</v>
      </c>
      <c r="J12" s="21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89">
        <f t="shared" ref="K12:K17" si="0"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4580.78</v>
      </c>
      <c r="L12" s="89">
        <v>0</v>
      </c>
      <c r="M12" s="89">
        <f>I12+J12-K12</f>
        <v>18551.22</v>
      </c>
      <c r="N12" s="17"/>
      <c r="O12" s="57">
        <v>23132.25</v>
      </c>
      <c r="Q12" s="42"/>
      <c r="R12" s="43"/>
    </row>
    <row r="13" spans="4:18" ht="32.1" hidden="1" customHeight="1" x14ac:dyDescent="0.25">
      <c r="D13" s="208"/>
      <c r="E13" s="94"/>
      <c r="F13" s="252"/>
      <c r="G13" s="93"/>
      <c r="H13" s="89">
        <v>21811</v>
      </c>
      <c r="I13" s="89">
        <f t="shared" ref="I13" si="1">H13</f>
        <v>21811</v>
      </c>
      <c r="J13" s="216"/>
      <c r="K13" s="89">
        <f t="shared" si="0"/>
        <v>0</v>
      </c>
      <c r="L13" s="89"/>
      <c r="M13" s="89"/>
      <c r="N13" s="17"/>
      <c r="O13" s="57">
        <v>22574.384999999998</v>
      </c>
      <c r="Q13" s="42"/>
      <c r="R13" s="43"/>
    </row>
    <row r="14" spans="4:18" ht="32.1" customHeight="1" x14ac:dyDescent="0.25">
      <c r="D14" s="208" t="s">
        <v>456</v>
      </c>
      <c r="E14" s="94" t="s">
        <v>303</v>
      </c>
      <c r="F14" s="94" t="s">
        <v>276</v>
      </c>
      <c r="G14" s="266">
        <v>15</v>
      </c>
      <c r="H14" s="89">
        <v>10251</v>
      </c>
      <c r="I14" s="89">
        <f>ROUND(H14/15*G14,2)</f>
        <v>10251</v>
      </c>
      <c r="J14" s="21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89">
        <f t="shared" si="0"/>
        <v>1478.51</v>
      </c>
      <c r="L14" s="89"/>
      <c r="M14" s="89">
        <f>I14+J14-K14</f>
        <v>8772.49</v>
      </c>
      <c r="N14" s="17"/>
      <c r="O14" s="57">
        <v>10251.674999999999</v>
      </c>
      <c r="Q14" s="42"/>
      <c r="R14" s="43"/>
    </row>
    <row r="15" spans="4:18" ht="32.1" customHeight="1" x14ac:dyDescent="0.3">
      <c r="D15" s="208"/>
      <c r="E15" s="96" t="s">
        <v>300</v>
      </c>
      <c r="F15" s="94"/>
      <c r="G15" s="259"/>
      <c r="H15" s="260"/>
      <c r="I15" s="260"/>
      <c r="J15" s="216"/>
      <c r="K15" s="89"/>
      <c r="L15" s="89"/>
      <c r="M15" s="89"/>
      <c r="N15" s="17"/>
      <c r="O15" s="57">
        <v>0</v>
      </c>
      <c r="Q15" s="42"/>
      <c r="R15" s="43"/>
    </row>
    <row r="16" spans="4:18" ht="32.1" customHeight="1" x14ac:dyDescent="0.25">
      <c r="D16" s="493" t="s">
        <v>480</v>
      </c>
      <c r="E16" s="525" t="s">
        <v>307</v>
      </c>
      <c r="F16" s="94" t="s">
        <v>284</v>
      </c>
      <c r="G16" s="259">
        <v>15</v>
      </c>
      <c r="H16" s="260">
        <v>9905</v>
      </c>
      <c r="I16" s="89">
        <f>ROUND(H16/15*G16,2)</f>
        <v>9905</v>
      </c>
      <c r="J16" s="216"/>
      <c r="K16" s="89">
        <f t="shared" si="0"/>
        <v>1404.61</v>
      </c>
      <c r="L16" s="89"/>
      <c r="M16" s="89">
        <f>I16+J16-K16</f>
        <v>8500.39</v>
      </c>
      <c r="N16" s="17"/>
      <c r="O16" s="57">
        <v>10251.674999999999</v>
      </c>
      <c r="Q16" s="42"/>
      <c r="R16" s="43"/>
    </row>
    <row r="17" spans="4:18" ht="32.1" customHeight="1" x14ac:dyDescent="0.25">
      <c r="D17" s="208" t="s">
        <v>215</v>
      </c>
      <c r="E17" s="94" t="s">
        <v>104</v>
      </c>
      <c r="F17" s="267" t="s">
        <v>434</v>
      </c>
      <c r="G17" s="126">
        <v>15</v>
      </c>
      <c r="H17" s="88">
        <v>4045</v>
      </c>
      <c r="I17" s="89">
        <f>ROUND(H17/15*G17,2)</f>
        <v>4045</v>
      </c>
      <c r="J17" s="216">
        <f>IFERROR(IF(ROUND((((I17/G17*30.4)-VLOOKUP((I17/G17*30.4),TARIFA,1))*VLOOKUP((I17/G17*30.4),TARIFA,3)+VLOOKUP((I17/G17*30.4),TARIFA,2)-VLOOKUP((I17/G17*30.4),SUBSIDIO,2))/30.4*G17,2)&lt;0,ROUND(-(((I17/G17*30.4)-VLOOKUP((I17/G17*30.4),TARIFA,1))*VLOOKUP((I17/G17*30.4),TARIFA,3)+VLOOKUP((I17/G17*30.4),TARIFA,2)-VLOOKUP((I17/G17*30.4),SUBSIDIO,2))/30.4*G17,2),0),0)</f>
        <v>0</v>
      </c>
      <c r="K17" s="89">
        <f t="shared" si="0"/>
        <v>304.91000000000003</v>
      </c>
      <c r="L17" s="89">
        <v>0</v>
      </c>
      <c r="M17" s="89">
        <f>I17+J17-K17</f>
        <v>3740.09</v>
      </c>
      <c r="N17" s="17"/>
      <c r="O17" s="57">
        <v>4044.7799999999997</v>
      </c>
      <c r="Q17" s="42"/>
      <c r="R17" s="43"/>
    </row>
    <row r="18" spans="4:18" ht="32.1" customHeight="1" x14ac:dyDescent="0.3">
      <c r="D18" s="208"/>
      <c r="E18" s="96" t="s">
        <v>115</v>
      </c>
      <c r="F18" s="268"/>
      <c r="G18" s="269"/>
      <c r="H18" s="270"/>
      <c r="I18" s="271"/>
      <c r="J18" s="272"/>
      <c r="K18" s="90"/>
      <c r="L18" s="89"/>
      <c r="M18" s="89"/>
      <c r="N18" s="17"/>
      <c r="O18" s="57">
        <v>0</v>
      </c>
      <c r="Q18" s="42"/>
      <c r="R18" s="43"/>
    </row>
    <row r="19" spans="4:18" ht="32.1" customHeight="1" x14ac:dyDescent="0.25">
      <c r="D19" s="208" t="s">
        <v>457</v>
      </c>
      <c r="E19" s="94" t="s">
        <v>301</v>
      </c>
      <c r="F19" s="94" t="s">
        <v>18</v>
      </c>
      <c r="G19" s="93">
        <v>15</v>
      </c>
      <c r="H19" s="89">
        <v>10515</v>
      </c>
      <c r="I19" s="89">
        <f>ROUND(H19/15*G19,2)</f>
        <v>10515</v>
      </c>
      <c r="J19" s="216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89">
        <f>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</f>
        <v>1534.9</v>
      </c>
      <c r="L19" s="89">
        <v>0</v>
      </c>
      <c r="M19" s="89">
        <f>I19+J19-K19</f>
        <v>8980.1</v>
      </c>
      <c r="N19" s="17"/>
      <c r="O19" s="57">
        <v>10515.599999999999</v>
      </c>
      <c r="Q19" s="42"/>
      <c r="R19" s="43"/>
    </row>
    <row r="20" spans="4:18" ht="32.1" customHeight="1" x14ac:dyDescent="0.25">
      <c r="D20" s="208" t="s">
        <v>207</v>
      </c>
      <c r="E20" s="94" t="s">
        <v>14</v>
      </c>
      <c r="F20" s="94" t="s">
        <v>15</v>
      </c>
      <c r="G20" s="93">
        <v>15</v>
      </c>
      <c r="H20" s="89">
        <v>4558</v>
      </c>
      <c r="I20" s="89">
        <f>ROUND(H20/15*G20,2)</f>
        <v>4558</v>
      </c>
      <c r="J20" s="216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89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360.72</v>
      </c>
      <c r="L20" s="89">
        <v>0</v>
      </c>
      <c r="M20" s="89">
        <f>I20+J20-K20</f>
        <v>4197.28</v>
      </c>
      <c r="N20" s="17"/>
      <c r="O20" s="57">
        <v>4289.04</v>
      </c>
      <c r="Q20" s="42"/>
      <c r="R20" s="43"/>
    </row>
    <row r="21" spans="4:18" ht="32.1" customHeight="1" x14ac:dyDescent="0.25">
      <c r="D21" s="208" t="s">
        <v>208</v>
      </c>
      <c r="E21" s="94" t="s">
        <v>50</v>
      </c>
      <c r="F21" s="94" t="s">
        <v>62</v>
      </c>
      <c r="G21" s="93">
        <v>15</v>
      </c>
      <c r="H21" s="89">
        <v>4289</v>
      </c>
      <c r="I21" s="89">
        <f>ROUND(H21/15*G21,2)</f>
        <v>4289</v>
      </c>
      <c r="J21" s="216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89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331.46</v>
      </c>
      <c r="L21" s="89">
        <v>0</v>
      </c>
      <c r="M21" s="89">
        <f>I21+J21-K21</f>
        <v>3957.54</v>
      </c>
      <c r="N21" s="17"/>
      <c r="O21" s="57">
        <v>4289.04</v>
      </c>
      <c r="Q21" s="42"/>
      <c r="R21" s="43"/>
    </row>
    <row r="22" spans="4:18" ht="32.1" customHeight="1" x14ac:dyDescent="0.3">
      <c r="D22" s="208"/>
      <c r="E22" s="96" t="s">
        <v>20</v>
      </c>
      <c r="F22" s="94"/>
      <c r="G22" s="93"/>
      <c r="H22" s="89"/>
      <c r="I22" s="89"/>
      <c r="J22" s="216"/>
      <c r="K22" s="89"/>
      <c r="L22" s="89"/>
      <c r="M22" s="89"/>
      <c r="N22" s="17"/>
      <c r="O22" s="57">
        <v>0</v>
      </c>
      <c r="Q22" s="42"/>
      <c r="R22" s="43"/>
    </row>
    <row r="23" spans="4:18" ht="32.1" customHeight="1" x14ac:dyDescent="0.25">
      <c r="D23" s="208" t="s">
        <v>449</v>
      </c>
      <c r="E23" s="94" t="s">
        <v>336</v>
      </c>
      <c r="F23" s="94" t="s">
        <v>337</v>
      </c>
      <c r="G23" s="93">
        <v>15</v>
      </c>
      <c r="H23" s="88">
        <v>5203</v>
      </c>
      <c r="I23" s="89">
        <f>ROUND(H23/15*G23,2)</f>
        <v>5203</v>
      </c>
      <c r="J23" s="216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89">
        <f>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</f>
        <v>454.4</v>
      </c>
      <c r="L23" s="89">
        <v>0</v>
      </c>
      <c r="M23" s="89">
        <f>I23+J23-K23</f>
        <v>4748.6000000000004</v>
      </c>
      <c r="N23" s="17"/>
      <c r="O23" s="57">
        <v>5202.9449999999997</v>
      </c>
      <c r="Q23" s="42"/>
      <c r="R23" s="43"/>
    </row>
    <row r="24" spans="4:18" ht="32.1" customHeight="1" x14ac:dyDescent="0.25">
      <c r="D24" s="208" t="s">
        <v>213</v>
      </c>
      <c r="E24" s="94" t="s">
        <v>21</v>
      </c>
      <c r="F24" s="252" t="s">
        <v>162</v>
      </c>
      <c r="G24" s="93">
        <v>15</v>
      </c>
      <c r="H24" s="89">
        <v>4536</v>
      </c>
      <c r="I24" s="89">
        <f>ROUND(H24/15*G24,2)</f>
        <v>4536</v>
      </c>
      <c r="J24" s="216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89">
        <f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358.33</v>
      </c>
      <c r="L24" s="89">
        <v>0</v>
      </c>
      <c r="M24" s="89">
        <f>I24+J24-K24</f>
        <v>4177.67</v>
      </c>
      <c r="N24" s="17"/>
      <c r="O24" s="57">
        <v>4536.4049999999997</v>
      </c>
      <c r="Q24" s="42"/>
      <c r="R24" s="43"/>
    </row>
    <row r="25" spans="4:18" ht="32.1" customHeight="1" x14ac:dyDescent="0.3">
      <c r="D25" s="208"/>
      <c r="E25" s="96" t="s">
        <v>82</v>
      </c>
      <c r="F25" s="94"/>
      <c r="G25" s="93"/>
      <c r="H25" s="89"/>
      <c r="I25" s="89"/>
      <c r="J25" s="216"/>
      <c r="K25" s="89"/>
      <c r="L25" s="89"/>
      <c r="M25" s="89"/>
      <c r="N25" s="17"/>
      <c r="O25" s="57">
        <v>0</v>
      </c>
      <c r="Q25" s="42"/>
      <c r="R25" s="43"/>
    </row>
    <row r="26" spans="4:18" ht="32.1" customHeight="1" x14ac:dyDescent="0.25">
      <c r="D26" s="208" t="s">
        <v>209</v>
      </c>
      <c r="E26" s="94" t="s">
        <v>107</v>
      </c>
      <c r="F26" s="94" t="s">
        <v>435</v>
      </c>
      <c r="G26" s="93">
        <v>15</v>
      </c>
      <c r="H26" s="89">
        <v>4045</v>
      </c>
      <c r="I26" s="89">
        <f>ROUND(H26/15*G26,2)</f>
        <v>4045</v>
      </c>
      <c r="J26" s="216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89">
        <f>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</f>
        <v>304.91000000000003</v>
      </c>
      <c r="L26" s="89">
        <v>0</v>
      </c>
      <c r="M26" s="89">
        <f>I26+J26-K26</f>
        <v>3740.09</v>
      </c>
      <c r="N26" s="17"/>
      <c r="O26" s="57">
        <v>4044.7799999999997</v>
      </c>
      <c r="Q26" s="42"/>
      <c r="R26" s="43"/>
    </row>
    <row r="27" spans="4:18" ht="32.1" customHeight="1" x14ac:dyDescent="0.3">
      <c r="D27" s="208"/>
      <c r="E27" s="96" t="s">
        <v>458</v>
      </c>
      <c r="F27" s="94"/>
      <c r="G27" s="93"/>
      <c r="H27" s="89"/>
      <c r="I27" s="89"/>
      <c r="J27" s="216"/>
      <c r="K27" s="89"/>
      <c r="L27" s="89"/>
      <c r="M27" s="89"/>
      <c r="N27" s="17"/>
      <c r="O27" s="57">
        <v>0</v>
      </c>
      <c r="Q27" s="42"/>
      <c r="R27" s="43"/>
    </row>
    <row r="28" spans="4:18" ht="32.1" customHeight="1" x14ac:dyDescent="0.25">
      <c r="D28" s="208" t="s">
        <v>448</v>
      </c>
      <c r="E28" s="94" t="s">
        <v>299</v>
      </c>
      <c r="F28" s="94" t="s">
        <v>436</v>
      </c>
      <c r="G28" s="93">
        <v>15</v>
      </c>
      <c r="H28" s="89">
        <v>6961</v>
      </c>
      <c r="I28" s="89">
        <f>ROUND(H28/15*G28,2)</f>
        <v>6961</v>
      </c>
      <c r="J28" s="216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89">
        <f>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</f>
        <v>775.77</v>
      </c>
      <c r="L28" s="89">
        <v>0</v>
      </c>
      <c r="M28" s="89">
        <f t="shared" ref="M28" si="2">I28+J28-K28</f>
        <v>6185.23</v>
      </c>
      <c r="N28" s="17"/>
      <c r="O28" s="57">
        <v>6961.41</v>
      </c>
      <c r="Q28" s="42"/>
      <c r="R28" s="43"/>
    </row>
    <row r="29" spans="4:18" ht="32.1" customHeight="1" x14ac:dyDescent="0.3">
      <c r="D29" s="208"/>
      <c r="E29" s="96" t="s">
        <v>381</v>
      </c>
      <c r="F29" s="94"/>
      <c r="G29" s="93"/>
      <c r="H29" s="89"/>
      <c r="I29" s="89"/>
      <c r="J29" s="216"/>
      <c r="K29" s="89"/>
      <c r="L29" s="89"/>
      <c r="M29" s="89"/>
      <c r="N29" s="17"/>
      <c r="O29" s="57">
        <v>0</v>
      </c>
      <c r="Q29" s="42"/>
      <c r="R29" s="43"/>
    </row>
    <row r="30" spans="4:18" ht="32.1" customHeight="1" x14ac:dyDescent="0.25">
      <c r="D30" s="208" t="s">
        <v>210</v>
      </c>
      <c r="E30" s="94" t="s">
        <v>117</v>
      </c>
      <c r="F30" s="94" t="s">
        <v>423</v>
      </c>
      <c r="G30" s="93">
        <v>15</v>
      </c>
      <c r="H30" s="89">
        <v>4045</v>
      </c>
      <c r="I30" s="89">
        <f>ROUND(H30/15*G30,2)</f>
        <v>4045</v>
      </c>
      <c r="J30" s="216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89">
        <f>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</f>
        <v>304.91000000000003</v>
      </c>
      <c r="L30" s="89">
        <v>0</v>
      </c>
      <c r="M30" s="89">
        <f>I30+J30-K30</f>
        <v>3740.09</v>
      </c>
      <c r="N30" s="17"/>
      <c r="O30" s="57">
        <v>4044.7799999999997</v>
      </c>
      <c r="Q30" s="42"/>
      <c r="R30" s="43"/>
    </row>
    <row r="31" spans="4:18" ht="32.1" customHeight="1" x14ac:dyDescent="0.25">
      <c r="D31" s="208" t="s">
        <v>211</v>
      </c>
      <c r="E31" s="94" t="s">
        <v>108</v>
      </c>
      <c r="F31" s="94" t="s">
        <v>109</v>
      </c>
      <c r="G31" s="93">
        <v>15</v>
      </c>
      <c r="H31" s="88">
        <v>2683</v>
      </c>
      <c r="I31" s="89">
        <f>ROUND(H31/15*G31,2)</f>
        <v>2683</v>
      </c>
      <c r="J31" s="216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89">
        <f>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</f>
        <v>12.09</v>
      </c>
      <c r="L31" s="88">
        <v>0</v>
      </c>
      <c r="M31" s="89">
        <f>I31+J31-K31</f>
        <v>2670.91</v>
      </c>
      <c r="N31" s="17"/>
      <c r="O31" s="57">
        <v>2682.72</v>
      </c>
      <c r="Q31" s="42"/>
      <c r="R31" s="43"/>
    </row>
    <row r="32" spans="4:18" ht="32.1" customHeight="1" x14ac:dyDescent="0.25">
      <c r="D32" s="208" t="s">
        <v>212</v>
      </c>
      <c r="E32" s="94" t="s">
        <v>16</v>
      </c>
      <c r="F32" s="94" t="s">
        <v>17</v>
      </c>
      <c r="G32" s="93">
        <v>15</v>
      </c>
      <c r="H32" s="88">
        <v>2929</v>
      </c>
      <c r="I32" s="89">
        <f>ROUND(H32/15*G32,2)</f>
        <v>2929</v>
      </c>
      <c r="J32" s="216">
        <f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89">
        <f>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</f>
        <v>38.11</v>
      </c>
      <c r="L32" s="88">
        <v>0</v>
      </c>
      <c r="M32" s="89">
        <f>I32+J32-K32</f>
        <v>2890.89</v>
      </c>
      <c r="N32" s="17"/>
      <c r="O32" s="57">
        <v>2929.0499999999997</v>
      </c>
      <c r="Q32" s="42"/>
      <c r="R32" s="43"/>
    </row>
    <row r="33" spans="2:18" ht="32.1" customHeight="1" x14ac:dyDescent="0.3">
      <c r="D33" s="208"/>
      <c r="E33" s="96" t="s">
        <v>172</v>
      </c>
      <c r="F33" s="94"/>
      <c r="G33" s="93"/>
      <c r="H33" s="89"/>
      <c r="I33" s="89"/>
      <c r="J33" s="216"/>
      <c r="K33" s="89"/>
      <c r="L33" s="89"/>
      <c r="M33" s="89"/>
      <c r="N33" s="17"/>
      <c r="O33" s="57">
        <v>0</v>
      </c>
      <c r="Q33" s="42"/>
      <c r="R33" s="43"/>
    </row>
    <row r="34" spans="2:18" ht="32.1" customHeight="1" x14ac:dyDescent="0.25">
      <c r="D34" s="208" t="s">
        <v>214</v>
      </c>
      <c r="E34" s="94" t="s">
        <v>70</v>
      </c>
      <c r="F34" s="252" t="s">
        <v>173</v>
      </c>
      <c r="G34" s="93">
        <v>15</v>
      </c>
      <c r="H34" s="89">
        <v>6073</v>
      </c>
      <c r="I34" s="89">
        <f>ROUND(H34/15*G34,2)</f>
        <v>6073</v>
      </c>
      <c r="J34" s="216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89">
        <f>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</f>
        <v>604.30999999999995</v>
      </c>
      <c r="L34" s="89">
        <v>0</v>
      </c>
      <c r="M34" s="89">
        <f>I34+J34-K34</f>
        <v>5468.6900000000005</v>
      </c>
      <c r="N34" s="17"/>
      <c r="O34" s="57">
        <v>6073.3799999999992</v>
      </c>
      <c r="Q34" s="42"/>
      <c r="R34" s="43"/>
    </row>
    <row r="35" spans="2:18" ht="24.9" customHeight="1" x14ac:dyDescent="0.25">
      <c r="D35" s="204"/>
      <c r="E35" s="67"/>
      <c r="F35" s="67"/>
      <c r="G35" s="66"/>
      <c r="H35" s="68">
        <f>H34+H32+H31+H30+H28+H26+H24+H23+H21+H20+H19+H17+H16+H14+H12</f>
        <v>103170</v>
      </c>
      <c r="I35" s="68">
        <f t="shared" ref="I35:M35" si="3">I34+I32+I31+I30+I28+I26+I24+I23+I21+I20+I19+I17+I16+I14+I12</f>
        <v>103170</v>
      </c>
      <c r="J35" s="68">
        <f t="shared" si="3"/>
        <v>0</v>
      </c>
      <c r="K35" s="68">
        <f t="shared" si="3"/>
        <v>12848.719999999998</v>
      </c>
      <c r="L35" s="68">
        <f t="shared" si="3"/>
        <v>0</v>
      </c>
      <c r="M35" s="68">
        <f t="shared" si="3"/>
        <v>90321.279999999999</v>
      </c>
      <c r="N35" s="69"/>
      <c r="O35" s="57"/>
      <c r="Q35" s="42"/>
      <c r="R35" s="43"/>
    </row>
    <row r="36" spans="2:18" ht="24.9" customHeight="1" x14ac:dyDescent="0.25">
      <c r="D36" s="363"/>
      <c r="E36" s="364"/>
      <c r="F36" s="364"/>
      <c r="G36" s="60"/>
      <c r="H36" s="68"/>
      <c r="I36" s="68"/>
      <c r="J36" s="68"/>
      <c r="K36" s="68"/>
      <c r="L36" s="68"/>
      <c r="M36" s="68"/>
      <c r="N36" s="68"/>
      <c r="O36" s="57"/>
      <c r="Q36" s="42"/>
      <c r="R36" s="43"/>
    </row>
    <row r="37" spans="2:18" ht="21.9" customHeight="1" x14ac:dyDescent="0.3">
      <c r="B37" s="34"/>
      <c r="C37" s="34"/>
      <c r="D37" s="543" t="s">
        <v>12</v>
      </c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7"/>
      <c r="Q37" s="42"/>
      <c r="R37" s="43"/>
    </row>
    <row r="38" spans="2:18" ht="21.9" customHeight="1" x14ac:dyDescent="0.3">
      <c r="B38" s="34"/>
      <c r="C38" s="34"/>
      <c r="D38" s="543" t="s">
        <v>138</v>
      </c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7"/>
      <c r="Q38" s="42"/>
      <c r="R38" s="43"/>
    </row>
    <row r="39" spans="2:18" ht="21.9" customHeight="1" x14ac:dyDescent="0.3">
      <c r="B39" s="34"/>
      <c r="C39" s="34"/>
      <c r="D39" s="543" t="str">
        <f>D5</f>
        <v>NOMINA 1A QUINCENA DE ENERO DE 2022</v>
      </c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7"/>
      <c r="Q39" s="42"/>
      <c r="R39" s="43"/>
    </row>
    <row r="40" spans="2:18" ht="21.9" customHeight="1" x14ac:dyDescent="0.3">
      <c r="B40" s="34"/>
      <c r="C40" s="34"/>
      <c r="D40" s="543" t="s">
        <v>122</v>
      </c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7"/>
      <c r="Q40" s="42"/>
      <c r="R40" s="43"/>
    </row>
    <row r="41" spans="2:18" ht="18.75" customHeight="1" x14ac:dyDescent="0.25">
      <c r="B41" s="34"/>
      <c r="C41" s="34"/>
      <c r="D41" s="292"/>
      <c r="E41" s="293"/>
      <c r="F41" s="293"/>
      <c r="G41" s="285" t="s">
        <v>4</v>
      </c>
      <c r="H41" s="294"/>
      <c r="I41" s="546" t="s">
        <v>453</v>
      </c>
      <c r="J41" s="548"/>
      <c r="K41" s="546"/>
      <c r="L41" s="547"/>
      <c r="M41" s="547"/>
      <c r="N41" s="285"/>
      <c r="O41" s="57"/>
      <c r="Q41" s="42"/>
      <c r="R41" s="43"/>
    </row>
    <row r="42" spans="2:18" ht="12" customHeight="1" x14ac:dyDescent="0.25">
      <c r="B42" s="34"/>
      <c r="C42" s="34"/>
      <c r="D42" s="295" t="s">
        <v>3</v>
      </c>
      <c r="E42" s="280"/>
      <c r="F42" s="280"/>
      <c r="G42" s="284" t="s">
        <v>5</v>
      </c>
      <c r="H42" s="285" t="s">
        <v>1</v>
      </c>
      <c r="I42" s="285" t="s">
        <v>124</v>
      </c>
      <c r="J42" s="296" t="s">
        <v>128</v>
      </c>
      <c r="K42" s="286"/>
      <c r="L42" s="286" t="s">
        <v>143</v>
      </c>
      <c r="M42" s="286" t="s">
        <v>127</v>
      </c>
      <c r="N42" s="280" t="s">
        <v>132</v>
      </c>
      <c r="O42" s="57"/>
      <c r="Q42" s="42"/>
      <c r="R42" s="43"/>
    </row>
    <row r="43" spans="2:18" ht="18.75" customHeight="1" x14ac:dyDescent="0.25">
      <c r="B43" s="34"/>
      <c r="C43" s="34"/>
      <c r="D43" s="297"/>
      <c r="E43" s="288"/>
      <c r="F43" s="288" t="s">
        <v>10</v>
      </c>
      <c r="G43" s="280"/>
      <c r="H43" s="280" t="s">
        <v>7</v>
      </c>
      <c r="I43" s="280" t="s">
        <v>127</v>
      </c>
      <c r="J43" s="298" t="s">
        <v>129</v>
      </c>
      <c r="K43" s="285" t="s">
        <v>130</v>
      </c>
      <c r="L43" s="285" t="s">
        <v>144</v>
      </c>
      <c r="M43" s="285" t="s">
        <v>133</v>
      </c>
      <c r="N43" s="280"/>
      <c r="O43" s="57"/>
      <c r="Q43" s="42"/>
      <c r="R43" s="43"/>
    </row>
    <row r="44" spans="2:18" ht="14.25" customHeight="1" x14ac:dyDescent="0.25">
      <c r="B44" s="34"/>
      <c r="C44" s="34"/>
      <c r="D44" s="297"/>
      <c r="E44" s="290" t="s">
        <v>13</v>
      </c>
      <c r="F44" s="290" t="s">
        <v>9</v>
      </c>
      <c r="G44" s="286"/>
      <c r="H44" s="286"/>
      <c r="I44" s="286"/>
      <c r="J44" s="300"/>
      <c r="K44" s="286"/>
      <c r="L44" s="286"/>
      <c r="M44" s="286"/>
      <c r="N44" s="286"/>
      <c r="O44" s="57"/>
      <c r="Q44" s="42"/>
      <c r="R44" s="43"/>
    </row>
    <row r="45" spans="2:18" ht="14.25" customHeight="1" x14ac:dyDescent="0.25">
      <c r="B45" s="34"/>
      <c r="C45" s="34"/>
      <c r="D45" s="297"/>
      <c r="E45" s="301"/>
      <c r="F45" s="301"/>
      <c r="G45" s="280"/>
      <c r="H45" s="280"/>
      <c r="I45" s="280"/>
      <c r="J45" s="284"/>
      <c r="K45" s="280"/>
      <c r="L45" s="280"/>
      <c r="M45" s="280"/>
      <c r="N45" s="280"/>
      <c r="O45" s="57"/>
      <c r="Q45" s="42"/>
      <c r="R45" s="43"/>
    </row>
    <row r="46" spans="2:18" ht="36.9" customHeight="1" x14ac:dyDescent="0.3">
      <c r="B46" s="34"/>
      <c r="C46" s="34"/>
      <c r="D46" s="205"/>
      <c r="E46" s="85" t="s">
        <v>155</v>
      </c>
      <c r="F46" s="85"/>
      <c r="G46" s="85"/>
      <c r="H46" s="85"/>
      <c r="I46" s="85"/>
      <c r="J46" s="215"/>
      <c r="K46" s="85"/>
      <c r="L46" s="85"/>
      <c r="M46" s="85"/>
      <c r="N46" s="14"/>
      <c r="O46" s="57"/>
      <c r="Q46" s="42"/>
      <c r="R46" s="43"/>
    </row>
    <row r="47" spans="2:18" ht="36.75" hidden="1" customHeight="1" x14ac:dyDescent="0.25">
      <c r="B47" s="34"/>
      <c r="C47" s="34"/>
      <c r="D47" s="206"/>
      <c r="E47" s="124"/>
      <c r="F47" s="125"/>
      <c r="G47" s="126"/>
      <c r="H47" s="97"/>
      <c r="I47" s="89"/>
      <c r="J47" s="216"/>
      <c r="K47" s="89"/>
      <c r="L47" s="90"/>
      <c r="M47" s="89"/>
      <c r="N47" s="14"/>
      <c r="O47" s="57">
        <v>0</v>
      </c>
      <c r="Q47" s="42"/>
      <c r="R47" s="43"/>
    </row>
    <row r="48" spans="2:18" ht="36.75" customHeight="1" x14ac:dyDescent="0.25">
      <c r="B48" s="34"/>
      <c r="C48" s="34"/>
      <c r="D48" s="203" t="s">
        <v>459</v>
      </c>
      <c r="E48" s="252" t="s">
        <v>328</v>
      </c>
      <c r="F48" s="252" t="s">
        <v>275</v>
      </c>
      <c r="G48" s="93">
        <v>15</v>
      </c>
      <c r="H48" s="89">
        <v>6961</v>
      </c>
      <c r="I48" s="89">
        <f>ROUND(H48/15*G48,2)</f>
        <v>6961</v>
      </c>
      <c r="J48" s="216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89">
        <f>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</f>
        <v>775.77</v>
      </c>
      <c r="L48" s="89">
        <v>0</v>
      </c>
      <c r="M48" s="89">
        <f t="shared" ref="M48" si="4">I48+J48-K48</f>
        <v>6185.23</v>
      </c>
      <c r="N48" s="14"/>
      <c r="O48" s="57">
        <v>6961.41</v>
      </c>
      <c r="Q48" s="42"/>
      <c r="R48" s="43"/>
    </row>
    <row r="49" spans="2:18" ht="36.9" customHeight="1" x14ac:dyDescent="0.3">
      <c r="D49" s="203"/>
      <c r="E49" s="96" t="s">
        <v>22</v>
      </c>
      <c r="F49" s="94"/>
      <c r="G49" s="93"/>
      <c r="H49" s="89"/>
      <c r="I49" s="89"/>
      <c r="J49" s="216"/>
      <c r="K49" s="89"/>
      <c r="L49" s="89"/>
      <c r="M49" s="89"/>
      <c r="N49" s="17"/>
      <c r="O49" s="57">
        <v>0</v>
      </c>
      <c r="Q49" s="42"/>
      <c r="R49" s="43"/>
    </row>
    <row r="50" spans="2:18" ht="36.9" customHeight="1" x14ac:dyDescent="0.25">
      <c r="D50" s="203" t="s">
        <v>460</v>
      </c>
      <c r="E50" s="94" t="s">
        <v>338</v>
      </c>
      <c r="F50" s="94" t="s">
        <v>23</v>
      </c>
      <c r="G50" s="93">
        <v>15</v>
      </c>
      <c r="H50" s="89">
        <v>17595</v>
      </c>
      <c r="I50" s="89">
        <f>ROUND(H50/15*G50,2)</f>
        <v>17595</v>
      </c>
      <c r="J50" s="216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89">
        <f>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</f>
        <v>3139.6</v>
      </c>
      <c r="L50" s="89">
        <v>0</v>
      </c>
      <c r="M50" s="89">
        <f t="shared" ref="M50:M61" si="5">I50+J50-K50</f>
        <v>14455.4</v>
      </c>
      <c r="N50" s="17"/>
      <c r="O50" s="57">
        <v>17595</v>
      </c>
      <c r="Q50" s="42"/>
      <c r="R50" s="43"/>
    </row>
    <row r="51" spans="2:18" ht="36.9" customHeight="1" x14ac:dyDescent="0.25">
      <c r="D51" s="203" t="s">
        <v>216</v>
      </c>
      <c r="E51" s="94" t="s">
        <v>24</v>
      </c>
      <c r="F51" s="94" t="s">
        <v>15</v>
      </c>
      <c r="G51" s="93">
        <v>15</v>
      </c>
      <c r="H51" s="89">
        <v>5156</v>
      </c>
      <c r="I51" s="89">
        <f>ROUND(H51/15*G51,2)</f>
        <v>5156</v>
      </c>
      <c r="J51" s="216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89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446.88</v>
      </c>
      <c r="L51" s="89">
        <v>0</v>
      </c>
      <c r="M51" s="89">
        <f t="shared" si="5"/>
        <v>4709.12</v>
      </c>
      <c r="N51" s="17"/>
      <c r="O51" s="57">
        <v>5081.8499999999995</v>
      </c>
      <c r="Q51" s="42"/>
      <c r="R51" s="43"/>
    </row>
    <row r="52" spans="2:18" ht="36.9" customHeight="1" x14ac:dyDescent="0.25">
      <c r="D52" s="203" t="s">
        <v>217</v>
      </c>
      <c r="E52" s="94" t="s">
        <v>83</v>
      </c>
      <c r="F52" s="94" t="s">
        <v>15</v>
      </c>
      <c r="G52" s="93">
        <v>15</v>
      </c>
      <c r="H52" s="88">
        <v>5156</v>
      </c>
      <c r="I52" s="89">
        <f>ROUND(H52/15*G52,2)</f>
        <v>5156</v>
      </c>
      <c r="J52" s="216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89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446.88</v>
      </c>
      <c r="L52" s="89">
        <v>0</v>
      </c>
      <c r="M52" s="89">
        <f t="shared" si="5"/>
        <v>4709.12</v>
      </c>
      <c r="N52" s="17"/>
      <c r="O52" s="57">
        <v>5081.8499999999995</v>
      </c>
      <c r="Q52" s="42"/>
      <c r="R52" s="43"/>
    </row>
    <row r="53" spans="2:18" ht="36.9" customHeight="1" x14ac:dyDescent="0.25">
      <c r="D53" s="203" t="s">
        <v>218</v>
      </c>
      <c r="E53" s="94" t="s">
        <v>25</v>
      </c>
      <c r="F53" s="94" t="s">
        <v>15</v>
      </c>
      <c r="G53" s="93">
        <v>15</v>
      </c>
      <c r="H53" s="89">
        <v>5156</v>
      </c>
      <c r="I53" s="89">
        <f>ROUND(H53/15*G53,2)</f>
        <v>5156</v>
      </c>
      <c r="J53" s="216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0</v>
      </c>
      <c r="K53" s="89">
        <f>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</f>
        <v>446.88</v>
      </c>
      <c r="L53" s="89">
        <v>0</v>
      </c>
      <c r="M53" s="89">
        <f t="shared" si="5"/>
        <v>4709.12</v>
      </c>
      <c r="N53" s="17"/>
      <c r="O53" s="57">
        <v>5081.8499999999995</v>
      </c>
      <c r="Q53" s="42"/>
      <c r="R53" s="43"/>
    </row>
    <row r="54" spans="2:18" ht="36.9" customHeight="1" x14ac:dyDescent="0.3">
      <c r="D54" s="203"/>
      <c r="E54" s="96" t="s">
        <v>77</v>
      </c>
      <c r="F54" s="94"/>
      <c r="G54" s="93"/>
      <c r="H54" s="89"/>
      <c r="I54" s="89"/>
      <c r="J54" s="216"/>
      <c r="K54" s="89"/>
      <c r="L54" s="89"/>
      <c r="M54" s="89"/>
      <c r="N54" s="17"/>
      <c r="O54" s="57">
        <v>0</v>
      </c>
      <c r="Q54" s="42"/>
      <c r="R54" s="43"/>
    </row>
    <row r="55" spans="2:18" ht="36.9" customHeight="1" x14ac:dyDescent="0.25">
      <c r="D55" s="203" t="s">
        <v>461</v>
      </c>
      <c r="E55" s="94" t="s">
        <v>333</v>
      </c>
      <c r="F55" s="252" t="s">
        <v>335</v>
      </c>
      <c r="G55" s="93">
        <v>15</v>
      </c>
      <c r="H55" s="89">
        <v>4024</v>
      </c>
      <c r="I55" s="89">
        <f>ROUND(H55/15*G55,2)</f>
        <v>4024</v>
      </c>
      <c r="J55" s="89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0</v>
      </c>
      <c r="K55" s="89">
        <f>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</f>
        <v>302.63</v>
      </c>
      <c r="L55" s="89">
        <v>0</v>
      </c>
      <c r="M55" s="89">
        <f t="shared" ref="M55" si="6">I55+J55-K55</f>
        <v>3721.37</v>
      </c>
      <c r="N55" s="17"/>
      <c r="O55" s="57">
        <v>4024.0799999999995</v>
      </c>
      <c r="Q55" s="42"/>
      <c r="R55" s="43"/>
    </row>
    <row r="56" spans="2:18" ht="43.5" customHeight="1" x14ac:dyDescent="0.25">
      <c r="D56" s="203" t="s">
        <v>219</v>
      </c>
      <c r="E56" s="94" t="s">
        <v>51</v>
      </c>
      <c r="F56" s="252" t="s">
        <v>151</v>
      </c>
      <c r="G56" s="93">
        <v>15</v>
      </c>
      <c r="H56" s="89">
        <v>4502</v>
      </c>
      <c r="I56" s="89">
        <f>ROUND(H56/15*G56,2)</f>
        <v>4502</v>
      </c>
      <c r="J56" s="89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89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354.63</v>
      </c>
      <c r="L56" s="89">
        <v>0</v>
      </c>
      <c r="M56" s="89">
        <f t="shared" si="5"/>
        <v>4147.37</v>
      </c>
      <c r="N56" s="17"/>
      <c r="O56" s="57">
        <v>4502.25</v>
      </c>
      <c r="Q56" s="42"/>
      <c r="R56" s="43"/>
    </row>
    <row r="57" spans="2:18" ht="36.9" customHeight="1" x14ac:dyDescent="0.3">
      <c r="D57" s="203"/>
      <c r="E57" s="96" t="s">
        <v>26</v>
      </c>
      <c r="F57" s="94"/>
      <c r="G57" s="93"/>
      <c r="H57" s="89"/>
      <c r="I57" s="89"/>
      <c r="J57" s="216"/>
      <c r="K57" s="89"/>
      <c r="L57" s="89"/>
      <c r="M57" s="89"/>
      <c r="N57" s="17"/>
      <c r="O57" s="57">
        <v>0</v>
      </c>
      <c r="Q57" s="42"/>
      <c r="R57" s="43"/>
    </row>
    <row r="58" spans="2:18" ht="36.9" customHeight="1" x14ac:dyDescent="0.25">
      <c r="D58" s="203" t="s">
        <v>221</v>
      </c>
      <c r="E58" s="94" t="s">
        <v>311</v>
      </c>
      <c r="F58" s="94" t="s">
        <v>27</v>
      </c>
      <c r="G58" s="93">
        <v>15</v>
      </c>
      <c r="H58" s="89">
        <v>8280</v>
      </c>
      <c r="I58" s="89">
        <f>ROUND(H58/15*G58,2)</f>
        <v>8280</v>
      </c>
      <c r="J58" s="216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89">
        <f>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</f>
        <v>1057.51</v>
      </c>
      <c r="L58" s="89">
        <v>0</v>
      </c>
      <c r="M58" s="89">
        <f t="shared" si="5"/>
        <v>7222.49</v>
      </c>
      <c r="N58" s="17"/>
      <c r="O58" s="57">
        <v>8280</v>
      </c>
      <c r="Q58" s="42"/>
      <c r="R58" s="43"/>
    </row>
    <row r="59" spans="2:18" ht="36.9" customHeight="1" x14ac:dyDescent="0.25">
      <c r="D59" s="203" t="s">
        <v>220</v>
      </c>
      <c r="E59" s="94" t="s">
        <v>71</v>
      </c>
      <c r="F59" s="94" t="s">
        <v>64</v>
      </c>
      <c r="G59" s="93">
        <v>15</v>
      </c>
      <c r="H59" s="89">
        <v>5502.28</v>
      </c>
      <c r="I59" s="89">
        <f>ROUND(H59/15*G59,2)</f>
        <v>5502.28</v>
      </c>
      <c r="J59" s="216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89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502.28</v>
      </c>
      <c r="L59" s="89">
        <v>0</v>
      </c>
      <c r="M59" s="89">
        <f t="shared" si="5"/>
        <v>5000</v>
      </c>
      <c r="N59" s="17"/>
      <c r="O59" s="57">
        <v>4860.3599999999997</v>
      </c>
      <c r="Q59" s="42"/>
      <c r="R59" s="43"/>
    </row>
    <row r="60" spans="2:18" ht="36.9" customHeight="1" x14ac:dyDescent="0.3">
      <c r="D60" s="203"/>
      <c r="E60" s="96" t="s">
        <v>384</v>
      </c>
      <c r="F60" s="94"/>
      <c r="G60" s="93"/>
      <c r="H60" s="89"/>
      <c r="I60" s="89"/>
      <c r="J60" s="216"/>
      <c r="K60" s="89"/>
      <c r="L60" s="89"/>
      <c r="M60" s="89"/>
      <c r="N60" s="17"/>
      <c r="O60" s="57">
        <v>0</v>
      </c>
      <c r="Q60" s="42"/>
      <c r="R60" s="43"/>
    </row>
    <row r="61" spans="2:18" ht="36.9" customHeight="1" x14ac:dyDescent="0.25">
      <c r="D61" s="203" t="s">
        <v>462</v>
      </c>
      <c r="E61" s="94" t="s">
        <v>309</v>
      </c>
      <c r="F61" s="273" t="s">
        <v>157</v>
      </c>
      <c r="G61" s="274">
        <v>15</v>
      </c>
      <c r="H61" s="89">
        <v>6326</v>
      </c>
      <c r="I61" s="89">
        <f>ROUND(H61/15*G61,2)</f>
        <v>6326</v>
      </c>
      <c r="J61" s="216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89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649.65</v>
      </c>
      <c r="L61" s="17">
        <f t="shared" ref="L61" si="7">SUM(L48:L60)</f>
        <v>0</v>
      </c>
      <c r="M61" s="89">
        <f t="shared" si="5"/>
        <v>5676.35</v>
      </c>
      <c r="N61" s="17"/>
      <c r="O61" s="57">
        <v>6325.9199999999992</v>
      </c>
      <c r="Q61" s="42"/>
      <c r="R61" s="43"/>
    </row>
    <row r="62" spans="2:18" s="16" customFormat="1" ht="36.9" customHeight="1" x14ac:dyDescent="0.25">
      <c r="D62" s="261"/>
      <c r="E62" s="106"/>
      <c r="F62" s="262"/>
      <c r="G62" s="263"/>
      <c r="H62" s="109">
        <f>SUM(H48:H61)</f>
        <v>68658.28</v>
      </c>
      <c r="I62" s="109">
        <f t="shared" ref="I62:M62" si="8">SUM(I48:I61)</f>
        <v>68658.28</v>
      </c>
      <c r="J62" s="109">
        <f t="shared" si="8"/>
        <v>0</v>
      </c>
      <c r="K62" s="109">
        <f>SUM(K46:K61)</f>
        <v>8122.71</v>
      </c>
      <c r="L62" s="109">
        <f t="shared" si="8"/>
        <v>0</v>
      </c>
      <c r="M62" s="109">
        <f t="shared" si="8"/>
        <v>60535.57</v>
      </c>
      <c r="N62" s="68"/>
      <c r="O62" s="57">
        <v>67794.569999999992</v>
      </c>
      <c r="Q62" s="264"/>
      <c r="R62" s="265"/>
    </row>
    <row r="63" spans="2:18" ht="21.9" customHeight="1" x14ac:dyDescent="0.35">
      <c r="B63" s="34"/>
      <c r="C63" s="34"/>
      <c r="D63" s="545" t="s">
        <v>12</v>
      </c>
      <c r="E63" s="545"/>
      <c r="F63" s="545"/>
      <c r="G63" s="545"/>
      <c r="H63" s="545"/>
      <c r="I63" s="545"/>
      <c r="J63" s="545"/>
      <c r="K63" s="545"/>
      <c r="L63" s="545"/>
      <c r="M63" s="545"/>
      <c r="N63" s="545"/>
      <c r="O63" s="57"/>
      <c r="Q63" s="42"/>
      <c r="R63" s="43"/>
    </row>
    <row r="64" spans="2:18" ht="21.9" customHeight="1" x14ac:dyDescent="0.35">
      <c r="B64" s="34"/>
      <c r="C64" s="34"/>
      <c r="D64" s="545" t="s">
        <v>138</v>
      </c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7"/>
      <c r="Q64" s="42"/>
      <c r="R64" s="43"/>
    </row>
    <row r="65" spans="2:18" ht="21.9" customHeight="1" x14ac:dyDescent="0.35">
      <c r="B65" s="34"/>
      <c r="C65" s="34"/>
      <c r="D65" s="545" t="str">
        <f>D39</f>
        <v>NOMINA 1A QUINCENA DE ENERO DE 2022</v>
      </c>
      <c r="E65" s="545"/>
      <c r="F65" s="545"/>
      <c r="G65" s="545"/>
      <c r="H65" s="545"/>
      <c r="I65" s="545"/>
      <c r="J65" s="545"/>
      <c r="K65" s="545"/>
      <c r="L65" s="545"/>
      <c r="M65" s="545"/>
      <c r="N65" s="545"/>
      <c r="O65" s="57"/>
      <c r="Q65" s="42"/>
      <c r="R65" s="43"/>
    </row>
    <row r="66" spans="2:18" ht="21.9" customHeight="1" x14ac:dyDescent="0.35">
      <c r="B66" s="34"/>
      <c r="C66" s="34"/>
      <c r="D66" s="545" t="s">
        <v>122</v>
      </c>
      <c r="E66" s="545"/>
      <c r="F66" s="545"/>
      <c r="G66" s="545"/>
      <c r="H66" s="545"/>
      <c r="I66" s="545"/>
      <c r="J66" s="545"/>
      <c r="K66" s="545"/>
      <c r="L66" s="545"/>
      <c r="M66" s="545"/>
      <c r="N66" s="545"/>
      <c r="O66" s="57"/>
      <c r="Q66" s="42"/>
      <c r="R66" s="43"/>
    </row>
    <row r="67" spans="2:18" ht="21.9" customHeight="1" x14ac:dyDescent="0.25">
      <c r="B67" s="34"/>
      <c r="C67" s="34"/>
      <c r="D67" s="292"/>
      <c r="E67" s="293"/>
      <c r="F67" s="293"/>
      <c r="G67" s="285" t="s">
        <v>4</v>
      </c>
      <c r="H67" s="294"/>
      <c r="I67" s="546" t="s">
        <v>453</v>
      </c>
      <c r="J67" s="548"/>
      <c r="K67" s="546"/>
      <c r="L67" s="547"/>
      <c r="M67" s="547"/>
      <c r="N67" s="285"/>
      <c r="O67" s="57"/>
      <c r="Q67" s="42"/>
      <c r="R67" s="43"/>
    </row>
    <row r="68" spans="2:18" ht="18.75" customHeight="1" x14ac:dyDescent="0.25">
      <c r="B68" s="34"/>
      <c r="C68" s="34"/>
      <c r="D68" s="295" t="s">
        <v>3</v>
      </c>
      <c r="E68" s="280"/>
      <c r="F68" s="280"/>
      <c r="G68" s="284" t="s">
        <v>5</v>
      </c>
      <c r="H68" s="285" t="s">
        <v>1</v>
      </c>
      <c r="I68" s="285" t="s">
        <v>124</v>
      </c>
      <c r="J68" s="296" t="s">
        <v>128</v>
      </c>
      <c r="K68" s="286"/>
      <c r="L68" s="286" t="s">
        <v>142</v>
      </c>
      <c r="M68" s="286" t="s">
        <v>127</v>
      </c>
      <c r="N68" s="280" t="s">
        <v>132</v>
      </c>
      <c r="O68" s="57"/>
      <c r="Q68" s="42"/>
      <c r="R68" s="43"/>
    </row>
    <row r="69" spans="2:18" ht="21.9" customHeight="1" x14ac:dyDescent="0.25">
      <c r="B69" s="34"/>
      <c r="C69" s="34"/>
      <c r="D69" s="297"/>
      <c r="E69" s="288"/>
      <c r="F69" s="288" t="s">
        <v>10</v>
      </c>
      <c r="G69" s="280"/>
      <c r="H69" s="280" t="s">
        <v>7</v>
      </c>
      <c r="I69" s="280" t="s">
        <v>127</v>
      </c>
      <c r="J69" s="298" t="s">
        <v>129</v>
      </c>
      <c r="K69" s="285" t="s">
        <v>130</v>
      </c>
      <c r="L69" s="285" t="s">
        <v>144</v>
      </c>
      <c r="M69" s="285" t="s">
        <v>133</v>
      </c>
      <c r="N69" s="280"/>
      <c r="O69" s="57"/>
      <c r="Q69" s="42"/>
      <c r="R69" s="43"/>
    </row>
    <row r="70" spans="2:18" ht="21.75" customHeight="1" x14ac:dyDescent="0.25">
      <c r="B70" s="34"/>
      <c r="C70" s="34"/>
      <c r="D70" s="299"/>
      <c r="E70" s="290" t="s">
        <v>13</v>
      </c>
      <c r="F70" s="290" t="s">
        <v>9</v>
      </c>
      <c r="G70" s="286"/>
      <c r="H70" s="286"/>
      <c r="I70" s="286"/>
      <c r="J70" s="300"/>
      <c r="K70" s="286"/>
      <c r="L70" s="286"/>
      <c r="M70" s="286"/>
      <c r="N70" s="286"/>
      <c r="O70" s="57"/>
      <c r="Q70" s="42"/>
      <c r="R70" s="43"/>
    </row>
    <row r="71" spans="2:18" ht="36.9" customHeight="1" x14ac:dyDescent="0.3">
      <c r="B71" s="34"/>
      <c r="C71" s="34"/>
      <c r="D71" s="203"/>
      <c r="E71" s="86" t="s">
        <v>28</v>
      </c>
      <c r="F71" s="91"/>
      <c r="G71" s="87"/>
      <c r="H71" s="89"/>
      <c r="I71" s="89"/>
      <c r="J71" s="216"/>
      <c r="K71" s="89"/>
      <c r="L71" s="89"/>
      <c r="M71" s="90"/>
      <c r="N71" s="79"/>
      <c r="O71" s="57"/>
      <c r="Q71" s="42"/>
      <c r="R71" s="43"/>
    </row>
    <row r="72" spans="2:18" ht="36.9" customHeight="1" x14ac:dyDescent="0.25">
      <c r="B72" s="34"/>
      <c r="C72" s="34"/>
      <c r="D72" s="203" t="s">
        <v>222</v>
      </c>
      <c r="E72" s="94" t="s">
        <v>30</v>
      </c>
      <c r="F72" s="94" t="s">
        <v>29</v>
      </c>
      <c r="G72" s="93">
        <v>15</v>
      </c>
      <c r="H72" s="89">
        <v>0</v>
      </c>
      <c r="I72" s="89">
        <f t="shared" ref="I72:I77" si="9">ROUND(H72/15*G72,2)</f>
        <v>0</v>
      </c>
      <c r="J72" s="216">
        <f t="shared" ref="J72:J77" si="10"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89">
        <f t="shared" ref="K72:K77" si="11">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</f>
        <v>0</v>
      </c>
      <c r="L72" s="89">
        <v>0</v>
      </c>
      <c r="M72" s="89">
        <f t="shared" ref="M72:M80" si="12">I72+J72-K72</f>
        <v>0</v>
      </c>
      <c r="N72" s="80"/>
      <c r="O72" s="57">
        <v>0</v>
      </c>
      <c r="Q72" s="42"/>
      <c r="R72" s="43"/>
    </row>
    <row r="73" spans="2:18" ht="36.9" customHeight="1" x14ac:dyDescent="0.25">
      <c r="B73" s="34"/>
      <c r="C73" s="34"/>
      <c r="D73" s="203" t="s">
        <v>223</v>
      </c>
      <c r="E73" s="94" t="s">
        <v>72</v>
      </c>
      <c r="F73" s="94" t="s">
        <v>29</v>
      </c>
      <c r="G73" s="93">
        <v>15</v>
      </c>
      <c r="H73" s="89">
        <v>4489</v>
      </c>
      <c r="I73" s="89">
        <f t="shared" si="9"/>
        <v>4489</v>
      </c>
      <c r="J73" s="89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89">
        <f>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</f>
        <v>353.22</v>
      </c>
      <c r="L73" s="89">
        <v>0</v>
      </c>
      <c r="M73" s="89">
        <f t="shared" si="12"/>
        <v>4135.78</v>
      </c>
      <c r="N73" s="80"/>
      <c r="O73" s="57">
        <v>4488.7950000000001</v>
      </c>
      <c r="Q73" s="42"/>
      <c r="R73" s="43"/>
    </row>
    <row r="74" spans="2:18" ht="36.9" customHeight="1" x14ac:dyDescent="0.25">
      <c r="B74" s="34"/>
      <c r="C74" s="34"/>
      <c r="D74" s="203" t="s">
        <v>224</v>
      </c>
      <c r="E74" s="94" t="s">
        <v>32</v>
      </c>
      <c r="F74" s="94" t="s">
        <v>33</v>
      </c>
      <c r="G74" s="93">
        <v>15</v>
      </c>
      <c r="H74" s="89">
        <v>3159</v>
      </c>
      <c r="I74" s="89">
        <f t="shared" si="9"/>
        <v>3159</v>
      </c>
      <c r="J74" s="216">
        <f t="shared" si="10"/>
        <v>0</v>
      </c>
      <c r="K74" s="89">
        <f t="shared" si="11"/>
        <v>83.41</v>
      </c>
      <c r="L74" s="89">
        <v>0</v>
      </c>
      <c r="M74" s="89">
        <f t="shared" si="12"/>
        <v>3075.59</v>
      </c>
      <c r="N74" s="80"/>
      <c r="O74" s="57">
        <v>3158.8199999999997</v>
      </c>
      <c r="Q74" s="42"/>
      <c r="R74" s="43"/>
    </row>
    <row r="75" spans="2:18" ht="36.9" customHeight="1" x14ac:dyDescent="0.25">
      <c r="B75" s="34"/>
      <c r="C75" s="34"/>
      <c r="D75" s="203" t="s">
        <v>225</v>
      </c>
      <c r="E75" s="94" t="s">
        <v>34</v>
      </c>
      <c r="F75" s="94" t="s">
        <v>35</v>
      </c>
      <c r="G75" s="93">
        <v>15</v>
      </c>
      <c r="H75" s="89">
        <v>3908</v>
      </c>
      <c r="I75" s="89">
        <f t="shared" si="9"/>
        <v>3908</v>
      </c>
      <c r="J75" s="216">
        <f t="shared" si="10"/>
        <v>0</v>
      </c>
      <c r="K75" s="89">
        <f t="shared" si="11"/>
        <v>290</v>
      </c>
      <c r="L75" s="89">
        <v>0</v>
      </c>
      <c r="M75" s="89">
        <f t="shared" si="12"/>
        <v>3618</v>
      </c>
      <c r="N75" s="80"/>
      <c r="O75" s="57">
        <v>3908.16</v>
      </c>
      <c r="Q75" s="42"/>
      <c r="R75" s="43"/>
    </row>
    <row r="76" spans="2:18" ht="36.9" customHeight="1" x14ac:dyDescent="0.25">
      <c r="B76" s="34"/>
      <c r="C76" s="34"/>
      <c r="D76" s="203" t="s">
        <v>226</v>
      </c>
      <c r="E76" s="94" t="s">
        <v>66</v>
      </c>
      <c r="F76" s="94" t="s">
        <v>35</v>
      </c>
      <c r="G76" s="93">
        <v>15</v>
      </c>
      <c r="H76" s="89">
        <v>3908</v>
      </c>
      <c r="I76" s="89">
        <f t="shared" si="9"/>
        <v>3908</v>
      </c>
      <c r="J76" s="216">
        <f t="shared" si="10"/>
        <v>0</v>
      </c>
      <c r="K76" s="89">
        <f t="shared" si="11"/>
        <v>290</v>
      </c>
      <c r="L76" s="89">
        <v>0</v>
      </c>
      <c r="M76" s="89">
        <f t="shared" si="12"/>
        <v>3618</v>
      </c>
      <c r="N76" s="80"/>
      <c r="O76" s="57">
        <v>3908.16</v>
      </c>
      <c r="Q76" s="42"/>
      <c r="R76" s="43"/>
    </row>
    <row r="77" spans="2:18" ht="38.25" customHeight="1" x14ac:dyDescent="0.25">
      <c r="B77" s="34"/>
      <c r="C77" s="34"/>
      <c r="D77" s="207" t="s">
        <v>227</v>
      </c>
      <c r="E77" s="95" t="s">
        <v>113</v>
      </c>
      <c r="F77" s="94" t="s">
        <v>29</v>
      </c>
      <c r="G77" s="93">
        <v>15</v>
      </c>
      <c r="H77" s="88">
        <v>3958</v>
      </c>
      <c r="I77" s="89">
        <f t="shared" si="9"/>
        <v>3958</v>
      </c>
      <c r="J77" s="216">
        <f t="shared" si="10"/>
        <v>0</v>
      </c>
      <c r="K77" s="89">
        <f t="shared" si="11"/>
        <v>295.44</v>
      </c>
      <c r="L77" s="89">
        <v>0</v>
      </c>
      <c r="M77" s="89">
        <f t="shared" si="12"/>
        <v>3662.56</v>
      </c>
      <c r="N77" s="80"/>
      <c r="O77" s="57">
        <v>3957.8399999999997</v>
      </c>
      <c r="Q77" s="42"/>
      <c r="R77" s="43"/>
    </row>
    <row r="78" spans="2:18" ht="36.9" customHeight="1" x14ac:dyDescent="0.3">
      <c r="D78" s="203"/>
      <c r="E78" s="96" t="s">
        <v>145</v>
      </c>
      <c r="F78" s="94"/>
      <c r="G78" s="93"/>
      <c r="H78" s="89"/>
      <c r="I78" s="89"/>
      <c r="J78" s="216"/>
      <c r="K78" s="89"/>
      <c r="L78" s="89"/>
      <c r="M78" s="89"/>
      <c r="N78" s="17"/>
      <c r="O78" s="57">
        <v>0</v>
      </c>
      <c r="Q78" s="42"/>
      <c r="R78" s="43"/>
    </row>
    <row r="79" spans="2:18" ht="36.9" customHeight="1" x14ac:dyDescent="0.25">
      <c r="D79" s="203" t="s">
        <v>463</v>
      </c>
      <c r="E79" s="94" t="s">
        <v>332</v>
      </c>
      <c r="F79" s="94" t="s">
        <v>389</v>
      </c>
      <c r="G79" s="93">
        <v>15</v>
      </c>
      <c r="H79" s="89">
        <v>4024</v>
      </c>
      <c r="I79" s="89">
        <f>ROUND(H79/15*G79,2)</f>
        <v>4024</v>
      </c>
      <c r="J79" s="89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89">
        <f>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</f>
        <v>302.63</v>
      </c>
      <c r="L79" s="89">
        <v>0</v>
      </c>
      <c r="M79" s="89">
        <f t="shared" ref="M79" si="13">I79+J79-K79</f>
        <v>3721.37</v>
      </c>
      <c r="N79" s="17"/>
      <c r="O79" s="57">
        <v>4024.0799999999995</v>
      </c>
      <c r="Q79" s="42"/>
      <c r="R79" s="43"/>
    </row>
    <row r="80" spans="2:18" ht="34.5" customHeight="1" x14ac:dyDescent="0.25">
      <c r="D80" s="208" t="s">
        <v>228</v>
      </c>
      <c r="E80" s="94" t="s">
        <v>110</v>
      </c>
      <c r="F80" s="94" t="s">
        <v>15</v>
      </c>
      <c r="G80" s="93">
        <v>15</v>
      </c>
      <c r="H80" s="89">
        <v>4149</v>
      </c>
      <c r="I80" s="89">
        <f>ROUND(H80/15*G80,2)</f>
        <v>4149</v>
      </c>
      <c r="J80" s="216">
        <f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89">
        <f>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</f>
        <v>316.23</v>
      </c>
      <c r="L80" s="89">
        <v>0</v>
      </c>
      <c r="M80" s="89">
        <f t="shared" si="12"/>
        <v>3832.77</v>
      </c>
      <c r="N80" s="17"/>
      <c r="O80" s="57">
        <v>4149.3149999999996</v>
      </c>
      <c r="Q80" s="42"/>
      <c r="R80" s="43"/>
    </row>
    <row r="81" spans="4:18" ht="1.5" hidden="1" customHeight="1" x14ac:dyDescent="0.25">
      <c r="D81" s="203"/>
      <c r="E81" s="94"/>
      <c r="F81" s="94"/>
      <c r="G81" s="93"/>
      <c r="H81" s="89">
        <v>4009</v>
      </c>
      <c r="I81" s="89">
        <v>4009</v>
      </c>
      <c r="J81" s="216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89">
        <f>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</f>
        <v>0</v>
      </c>
      <c r="L81" s="89">
        <v>1</v>
      </c>
      <c r="M81" s="89">
        <f t="shared" ref="M81:M85" si="14">I81+J81-K81</f>
        <v>4009</v>
      </c>
      <c r="N81" s="17"/>
      <c r="O81" s="57">
        <v>4149.3149999999996</v>
      </c>
      <c r="Q81" s="42"/>
      <c r="R81" s="43"/>
    </row>
    <row r="82" spans="4:18" ht="36.9" hidden="1" customHeight="1" x14ac:dyDescent="0.25">
      <c r="D82" s="208">
        <v>35</v>
      </c>
      <c r="E82" s="94"/>
      <c r="F82" s="94"/>
      <c r="G82" s="93"/>
      <c r="H82" s="89">
        <v>4009</v>
      </c>
      <c r="I82" s="89">
        <v>4009</v>
      </c>
      <c r="J82" s="216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89">
        <f>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</f>
        <v>0</v>
      </c>
      <c r="L82" s="89">
        <v>2</v>
      </c>
      <c r="M82" s="89">
        <f t="shared" si="14"/>
        <v>4009</v>
      </c>
      <c r="N82" s="17"/>
      <c r="O82" s="57">
        <v>4149.3149999999996</v>
      </c>
      <c r="Q82" s="42"/>
      <c r="R82" s="43"/>
    </row>
    <row r="83" spans="4:18" ht="3" hidden="1" customHeight="1" x14ac:dyDescent="0.25">
      <c r="D83" s="208"/>
      <c r="E83" s="94"/>
      <c r="F83" s="94"/>
      <c r="G83" s="93"/>
      <c r="H83" s="89">
        <v>4009</v>
      </c>
      <c r="I83" s="89">
        <v>4009</v>
      </c>
      <c r="J83" s="216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89">
        <f>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</f>
        <v>0</v>
      </c>
      <c r="L83" s="89">
        <v>3</v>
      </c>
      <c r="M83" s="89">
        <f t="shared" si="14"/>
        <v>4009</v>
      </c>
      <c r="N83" s="17"/>
      <c r="O83" s="57">
        <v>4149.3149999999996</v>
      </c>
      <c r="Q83" s="42"/>
      <c r="R83" s="43"/>
    </row>
    <row r="84" spans="4:18" ht="42.75" customHeight="1" x14ac:dyDescent="0.3">
      <c r="D84" s="208"/>
      <c r="E84" s="96" t="s">
        <v>313</v>
      </c>
      <c r="F84" s="94"/>
      <c r="G84" s="93"/>
      <c r="H84" s="89"/>
      <c r="I84" s="89"/>
      <c r="J84" s="216"/>
      <c r="K84" s="89"/>
      <c r="L84" s="89"/>
      <c r="M84" s="89"/>
      <c r="N84" s="17"/>
      <c r="O84" s="57">
        <v>0</v>
      </c>
      <c r="Q84" s="42"/>
      <c r="R84" s="43"/>
    </row>
    <row r="85" spans="4:18" ht="36.9" customHeight="1" x14ac:dyDescent="0.25">
      <c r="D85" s="203" t="s">
        <v>464</v>
      </c>
      <c r="E85" s="94" t="s">
        <v>314</v>
      </c>
      <c r="F85" s="94" t="s">
        <v>385</v>
      </c>
      <c r="G85" s="93">
        <v>15</v>
      </c>
      <c r="H85" s="89">
        <v>4024</v>
      </c>
      <c r="I85" s="89">
        <f>ROUND(H85/15*G85,2)</f>
        <v>4024</v>
      </c>
      <c r="J85" s="216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89">
        <f>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</f>
        <v>302.63</v>
      </c>
      <c r="L85" s="89">
        <v>5</v>
      </c>
      <c r="M85" s="89">
        <f t="shared" si="14"/>
        <v>3721.37</v>
      </c>
      <c r="N85" s="17"/>
      <c r="O85" s="57">
        <v>4024.0799999999995</v>
      </c>
      <c r="Q85" s="42"/>
      <c r="R85" s="43"/>
    </row>
    <row r="86" spans="4:18" ht="36.9" customHeight="1" x14ac:dyDescent="0.3">
      <c r="D86" s="203"/>
      <c r="E86" s="96" t="s">
        <v>391</v>
      </c>
      <c r="F86" s="94"/>
      <c r="G86" s="93"/>
      <c r="H86" s="89"/>
      <c r="I86" s="89"/>
      <c r="J86" s="216"/>
      <c r="K86" s="89"/>
      <c r="L86" s="89"/>
      <c r="M86" s="89"/>
      <c r="N86" s="17"/>
      <c r="O86" s="57">
        <v>0</v>
      </c>
      <c r="Q86" s="42"/>
      <c r="R86" s="43"/>
    </row>
    <row r="87" spans="4:18" ht="36.75" customHeight="1" x14ac:dyDescent="0.25">
      <c r="D87" s="203" t="s">
        <v>465</v>
      </c>
      <c r="E87" s="94" t="s">
        <v>319</v>
      </c>
      <c r="F87" s="252" t="s">
        <v>320</v>
      </c>
      <c r="G87" s="93">
        <v>15</v>
      </c>
      <c r="H87" s="89">
        <v>4489</v>
      </c>
      <c r="I87" s="89">
        <f>ROUND(H87/15*G87,2)</f>
        <v>4489</v>
      </c>
      <c r="J87" s="89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0</v>
      </c>
      <c r="K87" s="89">
        <f>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</f>
        <v>353.22</v>
      </c>
      <c r="L87" s="89">
        <v>0</v>
      </c>
      <c r="M87" s="89">
        <f t="shared" ref="M87" si="15">I87+J87-K87</f>
        <v>4135.78</v>
      </c>
      <c r="N87" s="17"/>
      <c r="O87" s="57">
        <v>4488.7950000000001</v>
      </c>
      <c r="Q87" s="42"/>
      <c r="R87" s="43"/>
    </row>
    <row r="88" spans="4:18" ht="36.9" customHeight="1" x14ac:dyDescent="0.25">
      <c r="D88" s="209"/>
      <c r="E88" s="70"/>
      <c r="F88" s="70"/>
      <c r="G88" s="63"/>
      <c r="H88" s="71">
        <f>SUM(H72:H87)</f>
        <v>48135</v>
      </c>
      <c r="I88" s="71">
        <f>SUM(I72:I87)</f>
        <v>48135</v>
      </c>
      <c r="J88" s="71">
        <f>SUM(J72:J87)</f>
        <v>0</v>
      </c>
      <c r="K88" s="71">
        <f>SUM(K72:K87)</f>
        <v>2586.7799999999997</v>
      </c>
      <c r="L88" s="71">
        <f t="shared" ref="L88" si="16">SUM(L72:L87)</f>
        <v>11</v>
      </c>
      <c r="M88" s="71">
        <f>SUM(M72:M87)</f>
        <v>45548.22</v>
      </c>
      <c r="N88" s="64"/>
      <c r="O88" s="57">
        <v>48555.99</v>
      </c>
      <c r="Q88" s="42"/>
      <c r="R88" s="43"/>
    </row>
    <row r="89" spans="4:18" ht="21.9" customHeight="1" x14ac:dyDescent="0.35">
      <c r="D89" s="545" t="s">
        <v>122</v>
      </c>
      <c r="E89" s="545"/>
      <c r="F89" s="545"/>
      <c r="G89" s="545"/>
      <c r="H89" s="545"/>
      <c r="I89" s="545"/>
      <c r="J89" s="545"/>
      <c r="K89" s="545"/>
      <c r="L89" s="545"/>
      <c r="M89" s="545"/>
      <c r="N89" s="545"/>
      <c r="O89" s="57"/>
      <c r="Q89" s="42"/>
      <c r="R89" s="43"/>
    </row>
    <row r="90" spans="4:18" ht="21.9" customHeight="1" x14ac:dyDescent="0.35">
      <c r="D90" s="545" t="s">
        <v>138</v>
      </c>
      <c r="E90" s="545"/>
      <c r="F90" s="545"/>
      <c r="G90" s="545"/>
      <c r="H90" s="545"/>
      <c r="I90" s="545"/>
      <c r="J90" s="545"/>
      <c r="K90" s="545"/>
      <c r="L90" s="545"/>
      <c r="M90" s="545"/>
      <c r="N90" s="545"/>
      <c r="O90" s="57"/>
      <c r="Q90" s="42"/>
      <c r="R90" s="43"/>
    </row>
    <row r="91" spans="4:18" ht="21.9" customHeight="1" x14ac:dyDescent="0.35">
      <c r="D91" s="545" t="str">
        <f>D5</f>
        <v>NOMINA 1A QUINCENA DE ENERO DE 2022</v>
      </c>
      <c r="E91" s="545"/>
      <c r="F91" s="545"/>
      <c r="G91" s="545"/>
      <c r="H91" s="545"/>
      <c r="I91" s="545"/>
      <c r="J91" s="545"/>
      <c r="K91" s="545"/>
      <c r="L91" s="545"/>
      <c r="M91" s="545"/>
      <c r="N91" s="545"/>
      <c r="O91" s="57"/>
      <c r="Q91" s="42"/>
      <c r="R91" s="43"/>
    </row>
    <row r="92" spans="4:18" ht="21.9" customHeight="1" x14ac:dyDescent="0.35">
      <c r="D92" s="545" t="s">
        <v>122</v>
      </c>
      <c r="E92" s="545"/>
      <c r="F92" s="545"/>
      <c r="G92" s="545"/>
      <c r="H92" s="545"/>
      <c r="I92" s="545"/>
      <c r="J92" s="545"/>
      <c r="K92" s="545"/>
      <c r="L92" s="545"/>
      <c r="M92" s="545"/>
      <c r="N92" s="545"/>
      <c r="O92" s="57"/>
      <c r="Q92" s="42"/>
      <c r="R92" s="43"/>
    </row>
    <row r="93" spans="4:18" ht="21.9" customHeight="1" x14ac:dyDescent="0.25">
      <c r="D93" s="292"/>
      <c r="E93" s="293"/>
      <c r="F93" s="293"/>
      <c r="G93" s="285" t="s">
        <v>4</v>
      </c>
      <c r="H93" s="294"/>
      <c r="I93" s="546" t="s">
        <v>453</v>
      </c>
      <c r="J93" s="548"/>
      <c r="K93" s="546"/>
      <c r="L93" s="547"/>
      <c r="M93" s="547"/>
      <c r="N93" s="285"/>
      <c r="O93" s="57"/>
      <c r="Q93" s="42"/>
      <c r="R93" s="43"/>
    </row>
    <row r="94" spans="4:18" ht="13.5" customHeight="1" x14ac:dyDescent="0.25">
      <c r="D94" s="295" t="s">
        <v>3</v>
      </c>
      <c r="E94" s="280"/>
      <c r="F94" s="280"/>
      <c r="G94" s="284" t="s">
        <v>5</v>
      </c>
      <c r="H94" s="285" t="s">
        <v>1</v>
      </c>
      <c r="I94" s="285" t="s">
        <v>124</v>
      </c>
      <c r="J94" s="296" t="s">
        <v>128</v>
      </c>
      <c r="K94" s="286"/>
      <c r="L94" s="286" t="s">
        <v>143</v>
      </c>
      <c r="M94" s="286" t="s">
        <v>127</v>
      </c>
      <c r="N94" s="280" t="s">
        <v>132</v>
      </c>
      <c r="O94" s="57"/>
      <c r="Q94" s="42"/>
      <c r="R94" s="43"/>
    </row>
    <row r="95" spans="4:18" ht="21.9" customHeight="1" x14ac:dyDescent="0.25">
      <c r="D95" s="297"/>
      <c r="E95" s="288"/>
      <c r="F95" s="288" t="s">
        <v>10</v>
      </c>
      <c r="G95" s="280"/>
      <c r="H95" s="280" t="s">
        <v>7</v>
      </c>
      <c r="I95" s="280" t="s">
        <v>127</v>
      </c>
      <c r="J95" s="298" t="s">
        <v>129</v>
      </c>
      <c r="K95" s="285" t="s">
        <v>130</v>
      </c>
      <c r="L95" s="285" t="s">
        <v>144</v>
      </c>
      <c r="M95" s="285" t="s">
        <v>133</v>
      </c>
      <c r="N95" s="280"/>
      <c r="O95" s="57"/>
      <c r="Q95" s="42"/>
      <c r="R95" s="43"/>
    </row>
    <row r="96" spans="4:18" ht="21.9" customHeight="1" x14ac:dyDescent="0.25">
      <c r="D96" s="299"/>
      <c r="E96" s="290" t="s">
        <v>13</v>
      </c>
      <c r="F96" s="290" t="s">
        <v>9</v>
      </c>
      <c r="G96" s="286"/>
      <c r="H96" s="286"/>
      <c r="I96" s="286"/>
      <c r="J96" s="300"/>
      <c r="K96" s="286"/>
      <c r="L96" s="286"/>
      <c r="M96" s="286"/>
      <c r="N96" s="286"/>
      <c r="O96" s="57"/>
      <c r="Q96" s="42"/>
      <c r="R96" s="43"/>
    </row>
    <row r="97" spans="4:18" ht="36.9" customHeight="1" x14ac:dyDescent="0.3">
      <c r="D97" s="210"/>
      <c r="E97" s="98" t="s">
        <v>44</v>
      </c>
      <c r="F97" s="99"/>
      <c r="G97" s="100"/>
      <c r="H97" s="101"/>
      <c r="I97" s="101"/>
      <c r="J97" s="218"/>
      <c r="K97" s="90"/>
      <c r="L97" s="90"/>
      <c r="M97" s="90"/>
      <c r="N97" s="53"/>
      <c r="O97" s="57"/>
      <c r="Q97" s="42"/>
      <c r="R97" s="43"/>
    </row>
    <row r="98" spans="4:18" ht="36.9" customHeight="1" x14ac:dyDescent="0.25">
      <c r="D98" s="203" t="s">
        <v>466</v>
      </c>
      <c r="E98" s="91" t="s">
        <v>416</v>
      </c>
      <c r="F98" s="92" t="s">
        <v>93</v>
      </c>
      <c r="G98" s="87">
        <v>15</v>
      </c>
      <c r="H98" s="89">
        <v>1753</v>
      </c>
      <c r="I98" s="89">
        <f t="shared" ref="I98:I104" si="17">ROUND(H98/15*G98,2)</f>
        <v>1753</v>
      </c>
      <c r="J98" s="216">
        <f t="shared" ref="J98:J104" si="18">IFERROR(IF(ROUND((((I98/G98*30.4)-VLOOKUP((I98/G98*30.4),TARIFA,1))*VLOOKUP((I98/G98*30.4),TARIFA,3)+VLOOKUP((I98/G98*30.4),TARIFA,2)-VLOOKUP((I98/G98*30.4),SUBSIDIO,2))/30.4*G98,2)&lt;0,ROUND(-(((I98/G98*30.4)-VLOOKUP((I98/G98*30.4),TARIFA,1))*VLOOKUP((I98/G98*30.4),TARIFA,3)+VLOOKUP((I98/G98*30.4),TARIFA,2)-VLOOKUP((I98/G98*30.4),SUBSIDIO,2))/30.4*G98,2),0),0)</f>
        <v>90.77</v>
      </c>
      <c r="K98" s="89">
        <f t="shared" ref="K98:K107" si="19">IFERROR(IF(ROUND((((I98/G98*30.4)-VLOOKUP((I98/G98*30.4),TARIFA,1))*VLOOKUP((I98/G98*30.4),TARIFA,3)+VLOOKUP((I98/G98*30.4),TARIFA,2)-VLOOKUP((I98/G98*30.4),SUBSIDIO,2))/30.4*G98,2)&gt;0,ROUND((((I98/G98*30.4)-VLOOKUP((I98/G98*30.4),TARIFA,1))*VLOOKUP((I98/G98*30.4),TARIFA,3)+VLOOKUP((I98/G98*30.4),TARIFA,2)-VLOOKUP((I98/G98*30.4),SUBSIDIO,2))/30.4*G98,2),0),0)</f>
        <v>0</v>
      </c>
      <c r="L98" s="89">
        <v>0</v>
      </c>
      <c r="M98" s="89">
        <f t="shared" ref="M98:M107" si="20">I98+J98-K98</f>
        <v>1843.77</v>
      </c>
      <c r="N98" s="17"/>
      <c r="O98" s="57">
        <v>1753.29</v>
      </c>
      <c r="Q98" s="42"/>
      <c r="R98" s="43"/>
    </row>
    <row r="99" spans="4:18" ht="36.9" customHeight="1" x14ac:dyDescent="0.25">
      <c r="D99" s="208" t="s">
        <v>467</v>
      </c>
      <c r="E99" s="94" t="s">
        <v>365</v>
      </c>
      <c r="F99" s="252" t="s">
        <v>75</v>
      </c>
      <c r="G99" s="93">
        <v>15</v>
      </c>
      <c r="H99" s="89">
        <v>1753</v>
      </c>
      <c r="I99" s="89">
        <f t="shared" si="17"/>
        <v>1753</v>
      </c>
      <c r="J99" s="216">
        <f t="shared" si="18"/>
        <v>90.77</v>
      </c>
      <c r="K99" s="89">
        <f t="shared" si="19"/>
        <v>0</v>
      </c>
      <c r="L99" s="89">
        <v>0</v>
      </c>
      <c r="M99" s="89">
        <f t="shared" si="20"/>
        <v>1843.77</v>
      </c>
      <c r="N99" s="17"/>
      <c r="O99" s="57">
        <v>1753.29</v>
      </c>
      <c r="Q99" s="42"/>
      <c r="R99" s="43"/>
    </row>
    <row r="100" spans="4:18" ht="36.9" customHeight="1" x14ac:dyDescent="0.25">
      <c r="D100" s="208" t="s">
        <v>468</v>
      </c>
      <c r="E100" s="94" t="s">
        <v>428</v>
      </c>
      <c r="F100" s="252" t="s">
        <v>78</v>
      </c>
      <c r="G100" s="93">
        <v>15</v>
      </c>
      <c r="H100" s="89">
        <v>1753</v>
      </c>
      <c r="I100" s="89">
        <f t="shared" si="17"/>
        <v>1753</v>
      </c>
      <c r="J100" s="216">
        <f t="shared" si="18"/>
        <v>90.77</v>
      </c>
      <c r="K100" s="89">
        <f t="shared" si="19"/>
        <v>0</v>
      </c>
      <c r="L100" s="89">
        <v>0</v>
      </c>
      <c r="M100" s="89">
        <f t="shared" si="20"/>
        <v>1843.77</v>
      </c>
      <c r="N100" s="17"/>
      <c r="O100" s="57">
        <v>1753.29</v>
      </c>
      <c r="Q100" s="42"/>
      <c r="R100" s="43"/>
    </row>
    <row r="101" spans="4:18" ht="36.9" customHeight="1" x14ac:dyDescent="0.25">
      <c r="D101" s="208" t="s">
        <v>469</v>
      </c>
      <c r="E101" s="94" t="s">
        <v>364</v>
      </c>
      <c r="F101" s="252" t="s">
        <v>79</v>
      </c>
      <c r="G101" s="93">
        <v>15</v>
      </c>
      <c r="H101" s="89">
        <v>1753</v>
      </c>
      <c r="I101" s="89">
        <f t="shared" si="17"/>
        <v>1753</v>
      </c>
      <c r="J101" s="216">
        <f t="shared" si="18"/>
        <v>90.77</v>
      </c>
      <c r="K101" s="89">
        <f t="shared" si="19"/>
        <v>0</v>
      </c>
      <c r="L101" s="89">
        <v>0</v>
      </c>
      <c r="M101" s="89">
        <f t="shared" si="20"/>
        <v>1843.77</v>
      </c>
      <c r="N101" s="17"/>
      <c r="O101" s="57">
        <v>1753.29</v>
      </c>
      <c r="Q101" s="42"/>
      <c r="R101" s="43"/>
    </row>
    <row r="102" spans="4:18" ht="36.9" customHeight="1" x14ac:dyDescent="0.25">
      <c r="D102" s="208" t="s">
        <v>470</v>
      </c>
      <c r="E102" s="94" t="s">
        <v>362</v>
      </c>
      <c r="F102" s="252" t="s">
        <v>94</v>
      </c>
      <c r="G102" s="93">
        <v>15</v>
      </c>
      <c r="H102" s="89">
        <v>1753</v>
      </c>
      <c r="I102" s="89">
        <f t="shared" si="17"/>
        <v>1753</v>
      </c>
      <c r="J102" s="216">
        <f t="shared" si="18"/>
        <v>90.77</v>
      </c>
      <c r="K102" s="89">
        <f t="shared" ref="K102" si="21">IFERROR(IF(ROUND((((I102/G102*30.4)-VLOOKUP((I102/G102*30.4),TARIFA,1))*VLOOKUP((I102/G102*30.4),TARIFA,3)+VLOOKUP((I102/G102*30.4),TARIFA,2)-VLOOKUP((I102/G102*30.4),SUBSIDIO,2))/30.4*G102,2)&gt;0,ROUND((((I102/G102*30.4)-VLOOKUP((I102/G102*30.4),TARIFA,1))*VLOOKUP((I102/G102*30.4),TARIFA,3)+VLOOKUP((I102/G102*30.4),TARIFA,2)-VLOOKUP((I102/G102*30.4),SUBSIDIO,2))/30.4*G102,2),0),0)</f>
        <v>0</v>
      </c>
      <c r="L102" s="89">
        <v>0</v>
      </c>
      <c r="M102" s="89">
        <f t="shared" si="20"/>
        <v>1843.77</v>
      </c>
      <c r="N102" s="17"/>
      <c r="O102" s="57">
        <v>1753.29</v>
      </c>
      <c r="Q102" s="42"/>
      <c r="R102" s="43"/>
    </row>
    <row r="103" spans="4:18" ht="36.9" customHeight="1" x14ac:dyDescent="0.25">
      <c r="D103" s="208" t="s">
        <v>471</v>
      </c>
      <c r="E103" s="94" t="s">
        <v>363</v>
      </c>
      <c r="F103" s="252" t="s">
        <v>95</v>
      </c>
      <c r="G103" s="93">
        <v>15</v>
      </c>
      <c r="H103" s="89">
        <v>1753</v>
      </c>
      <c r="I103" s="89">
        <f t="shared" si="17"/>
        <v>1753</v>
      </c>
      <c r="J103" s="216">
        <f t="shared" si="18"/>
        <v>90.77</v>
      </c>
      <c r="K103" s="89">
        <f t="shared" si="19"/>
        <v>0</v>
      </c>
      <c r="L103" s="89">
        <v>0</v>
      </c>
      <c r="M103" s="89">
        <f t="shared" si="20"/>
        <v>1843.77</v>
      </c>
      <c r="N103" s="17"/>
      <c r="O103" s="57">
        <v>1753.29</v>
      </c>
      <c r="Q103" s="42"/>
      <c r="R103" s="43"/>
    </row>
    <row r="104" spans="4:18" ht="38.25" customHeight="1" x14ac:dyDescent="0.25">
      <c r="D104" s="208" t="s">
        <v>472</v>
      </c>
      <c r="E104" s="94" t="s">
        <v>420</v>
      </c>
      <c r="F104" s="252" t="s">
        <v>96</v>
      </c>
      <c r="G104" s="93">
        <v>15</v>
      </c>
      <c r="H104" s="89">
        <v>1753</v>
      </c>
      <c r="I104" s="89">
        <f t="shared" si="17"/>
        <v>1753</v>
      </c>
      <c r="J104" s="216">
        <f t="shared" si="18"/>
        <v>90.77</v>
      </c>
      <c r="K104" s="89">
        <f t="shared" si="19"/>
        <v>0</v>
      </c>
      <c r="L104" s="89">
        <v>0</v>
      </c>
      <c r="M104" s="89">
        <f t="shared" si="20"/>
        <v>1843.77</v>
      </c>
      <c r="N104" s="17"/>
      <c r="O104" s="57">
        <v>1753.29</v>
      </c>
      <c r="Q104" s="42"/>
      <c r="R104" s="43"/>
    </row>
    <row r="105" spans="4:18" ht="36.9" customHeight="1" x14ac:dyDescent="0.3">
      <c r="D105" s="208"/>
      <c r="E105" s="96" t="s">
        <v>45</v>
      </c>
      <c r="F105" s="94"/>
      <c r="G105" s="93"/>
      <c r="H105" s="89"/>
      <c r="I105" s="89"/>
      <c r="J105" s="216"/>
      <c r="K105" s="89"/>
      <c r="L105" s="89"/>
      <c r="M105" s="89"/>
      <c r="N105" s="17"/>
      <c r="O105" s="57">
        <v>0</v>
      </c>
      <c r="Q105" s="42"/>
      <c r="R105" s="43"/>
    </row>
    <row r="106" spans="4:18" ht="36.9" customHeight="1" x14ac:dyDescent="0.25">
      <c r="D106" s="208" t="s">
        <v>230</v>
      </c>
      <c r="E106" s="94" t="s">
        <v>46</v>
      </c>
      <c r="F106" s="94" t="s">
        <v>47</v>
      </c>
      <c r="G106" s="93">
        <v>15</v>
      </c>
      <c r="H106" s="89">
        <v>4282</v>
      </c>
      <c r="I106" s="89">
        <f>ROUND(H106/15*G106,2)</f>
        <v>4282</v>
      </c>
      <c r="J106" s="216">
        <f>IFERROR(IF(ROUND((((I106/G106*30.4)-VLOOKUP((I106/G106*30.4),TARIFA,1))*VLOOKUP((I106/G106*30.4),TARIFA,3)+VLOOKUP((I106/G106*30.4),TARIFA,2)-VLOOKUP((I106/G106*30.4),SUBSIDIO,2))/30.4*G106,2)&lt;0,ROUND(-(((I106/G106*30.4)-VLOOKUP((I106/G106*30.4),TARIFA,1))*VLOOKUP((I106/G106*30.4),TARIFA,3)+VLOOKUP((I106/G106*30.4),TARIFA,2)-VLOOKUP((I106/G106*30.4),SUBSIDIO,2))/30.4*G106,2),0),0)</f>
        <v>0</v>
      </c>
      <c r="K106" s="89">
        <f t="shared" si="19"/>
        <v>330.7</v>
      </c>
      <c r="L106" s="89">
        <v>0</v>
      </c>
      <c r="M106" s="89">
        <f t="shared" si="20"/>
        <v>3951.3</v>
      </c>
      <c r="N106" s="17"/>
      <c r="O106" s="57">
        <v>4281.7950000000001</v>
      </c>
      <c r="Q106" s="42"/>
      <c r="R106" s="43"/>
    </row>
    <row r="107" spans="4:18" ht="36.9" customHeight="1" x14ac:dyDescent="0.25">
      <c r="D107" s="208" t="s">
        <v>231</v>
      </c>
      <c r="E107" s="94" t="s">
        <v>48</v>
      </c>
      <c r="F107" s="252" t="s">
        <v>49</v>
      </c>
      <c r="G107" s="93">
        <v>15</v>
      </c>
      <c r="H107" s="89">
        <v>3472</v>
      </c>
      <c r="I107" s="89">
        <f>ROUND(H107/15*G107,2)</f>
        <v>3472</v>
      </c>
      <c r="J107" s="216">
        <f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0</v>
      </c>
      <c r="K107" s="89">
        <f t="shared" si="19"/>
        <v>117.47</v>
      </c>
      <c r="L107" s="89">
        <v>0</v>
      </c>
      <c r="M107" s="89">
        <f t="shared" si="20"/>
        <v>3354.53</v>
      </c>
      <c r="N107" s="17"/>
      <c r="O107" s="57">
        <v>3472.4249999999997</v>
      </c>
      <c r="Q107" s="42"/>
      <c r="R107" s="43"/>
    </row>
    <row r="108" spans="4:18" ht="36.9" customHeight="1" x14ac:dyDescent="0.25">
      <c r="D108" s="211"/>
      <c r="E108" s="3"/>
      <c r="F108" s="3"/>
      <c r="G108" s="4"/>
      <c r="H108" s="17"/>
      <c r="I108" s="17"/>
      <c r="J108" s="217"/>
      <c r="K108" s="17"/>
      <c r="L108" s="17"/>
      <c r="M108" s="17"/>
      <c r="N108" s="17"/>
      <c r="Q108" s="42"/>
      <c r="R108" s="43"/>
    </row>
    <row r="109" spans="4:18" ht="36.9" customHeight="1" x14ac:dyDescent="0.25">
      <c r="D109" s="212"/>
      <c r="E109" s="18"/>
      <c r="F109" s="18"/>
      <c r="G109" s="58"/>
      <c r="H109" s="22"/>
      <c r="I109" s="23"/>
      <c r="J109" s="219"/>
      <c r="K109" s="24"/>
      <c r="L109" s="24"/>
      <c r="M109" s="24"/>
      <c r="N109" s="24"/>
    </row>
    <row r="110" spans="4:18" ht="36.9" customHeight="1" thickBot="1" x14ac:dyDescent="0.35">
      <c r="D110" s="526" t="s">
        <v>6</v>
      </c>
      <c r="E110" s="527"/>
      <c r="F110" s="527"/>
      <c r="G110" s="527"/>
      <c r="H110" s="302">
        <f>H107+H106+H104+H103+H102+H101+H100+H99+H98+H87+H85+H80+H79+H77+H76+H75+H74+H73+H72+H61+H59+H58+H56+H55+H53+H52+H51+H50+H48+H34+H32+H31+H30+H28+H26+H24+H23+H21+H20+H19+H17+H16+H14+H12</f>
        <v>227961.28</v>
      </c>
      <c r="I110" s="302">
        <f t="shared" ref="I110:M110" si="22">I107+I106+I104+I103+I102+I101+I100+I99+I98+I87+I85+I80+I79+I77+I76+I75+I74+I73+I72+I61+I59+I58+I56+I55+I53+I52+I51+I50+I48+I34+I32+I31+I30+I28+I26+I24+I23+I21+I20+I19+I17+I16+I14+I12</f>
        <v>227961.28</v>
      </c>
      <c r="J110" s="302">
        <f t="shared" si="22"/>
        <v>635.39</v>
      </c>
      <c r="K110" s="302">
        <f t="shared" si="22"/>
        <v>24006.379999999997</v>
      </c>
      <c r="L110" s="302">
        <f t="shared" si="22"/>
        <v>5</v>
      </c>
      <c r="M110" s="302">
        <f t="shared" si="22"/>
        <v>204590.29</v>
      </c>
      <c r="N110" s="303"/>
      <c r="Q110" s="43"/>
      <c r="R110" s="43"/>
    </row>
    <row r="111" spans="4:18" ht="13.8" thickTop="1" x14ac:dyDescent="0.25">
      <c r="H111" s="256">
        <f>SUM(H98:H107)</f>
        <v>20025</v>
      </c>
      <c r="I111" s="256">
        <f t="shared" ref="I111:M111" si="23">SUM(I98:I107)</f>
        <v>20025</v>
      </c>
      <c r="J111" s="256">
        <f t="shared" si="23"/>
        <v>635.39</v>
      </c>
      <c r="K111" s="256">
        <f t="shared" si="23"/>
        <v>448.16999999999996</v>
      </c>
      <c r="L111" s="256">
        <f t="shared" si="23"/>
        <v>0</v>
      </c>
      <c r="M111" s="256">
        <f t="shared" si="23"/>
        <v>20212.22</v>
      </c>
    </row>
    <row r="112" spans="4:18" x14ac:dyDescent="0.25">
      <c r="H112" s="256"/>
      <c r="I112" s="256"/>
      <c r="J112" s="257"/>
      <c r="K112" s="256"/>
      <c r="L112" s="256"/>
      <c r="M112" s="256">
        <f>M107+M106+M104+M103+M102+M101+M100+M99+M98+M87+M85+M80+M79+M77+M76+M75+M74+M73+M72+M61+M59+M58+M56+M55+M53+M52+M51+M50+M48+M34+M32+M31+M30+M26+M24+M23+M21+M20+M19+M17+M16+M14+M12</f>
        <v>198405.05999999997</v>
      </c>
    </row>
    <row r="113" spans="5:14" x14ac:dyDescent="0.25">
      <c r="H113" s="256">
        <f>H111+H88+H61+H35</f>
        <v>177656</v>
      </c>
      <c r="I113" s="256">
        <f>I111+I88+I61+I35</f>
        <v>177656</v>
      </c>
      <c r="J113" s="257">
        <f>J111+J88+J61+J35</f>
        <v>635.39</v>
      </c>
      <c r="K113" s="256">
        <f>K111+K88+K61+K35</f>
        <v>16533.319999999996</v>
      </c>
      <c r="L113" s="256"/>
      <c r="M113" s="256">
        <f>M111+M88+M61+M35</f>
        <v>161758.07</v>
      </c>
    </row>
    <row r="114" spans="5:14" x14ac:dyDescent="0.25">
      <c r="H114" s="256"/>
      <c r="I114" s="256"/>
      <c r="J114" s="257"/>
      <c r="K114" s="256"/>
      <c r="L114" s="256"/>
      <c r="M114" s="256"/>
    </row>
    <row r="115" spans="5:14" x14ac:dyDescent="0.25">
      <c r="H115" s="253"/>
      <c r="I115" s="253"/>
      <c r="J115" s="254"/>
      <c r="K115" s="253"/>
      <c r="L115" s="57"/>
      <c r="M115" s="57"/>
    </row>
    <row r="116" spans="5:14" x14ac:dyDescent="0.25">
      <c r="H116" s="255"/>
      <c r="I116" s="255"/>
      <c r="J116" s="254"/>
      <c r="K116" s="255"/>
    </row>
    <row r="117" spans="5:14" x14ac:dyDescent="0.25">
      <c r="H117" s="255"/>
      <c r="I117" s="253"/>
      <c r="J117" s="254"/>
      <c r="K117" s="255"/>
    </row>
    <row r="118" spans="5:14" x14ac:dyDescent="0.25">
      <c r="E118" s="13" t="s">
        <v>97</v>
      </c>
      <c r="H118" s="255"/>
      <c r="I118" s="255"/>
      <c r="J118" s="254"/>
      <c r="K118" s="255"/>
      <c r="M118" s="50"/>
      <c r="N118" s="50"/>
    </row>
    <row r="119" spans="5:14" x14ac:dyDescent="0.25">
      <c r="E119" s="26" t="s">
        <v>402</v>
      </c>
      <c r="H119" s="255"/>
      <c r="I119" s="255"/>
      <c r="J119" s="254"/>
      <c r="K119" s="255"/>
      <c r="M119" s="549" t="s">
        <v>403</v>
      </c>
      <c r="N119" s="549"/>
    </row>
    <row r="120" spans="5:14" x14ac:dyDescent="0.25">
      <c r="E120" s="27" t="s">
        <v>11</v>
      </c>
      <c r="F120" s="27"/>
      <c r="H120" s="255"/>
      <c r="I120" s="255"/>
      <c r="J120" s="254"/>
      <c r="K120" s="255"/>
      <c r="M120" s="550" t="s">
        <v>135</v>
      </c>
      <c r="N120" s="550"/>
    </row>
    <row r="121" spans="5:14" x14ac:dyDescent="0.25">
      <c r="H121" s="255"/>
      <c r="I121" s="255"/>
      <c r="J121" s="254"/>
      <c r="K121" s="254"/>
      <c r="L121" s="42"/>
    </row>
    <row r="122" spans="5:14" x14ac:dyDescent="0.25">
      <c r="H122" s="253"/>
      <c r="I122" s="255"/>
      <c r="J122" s="254"/>
      <c r="K122" s="254"/>
      <c r="L122" s="42"/>
    </row>
    <row r="123" spans="5:14" x14ac:dyDescent="0.25">
      <c r="H123" s="255"/>
      <c r="I123" s="255"/>
      <c r="J123" s="254"/>
      <c r="K123" s="254"/>
      <c r="L123" s="42"/>
    </row>
    <row r="124" spans="5:14" x14ac:dyDescent="0.25">
      <c r="H124" s="255"/>
      <c r="I124" s="255"/>
      <c r="J124" s="254"/>
      <c r="K124" s="254"/>
      <c r="L124" s="42"/>
      <c r="M124" s="57">
        <f>SUM(M98:M107)</f>
        <v>20212.22</v>
      </c>
      <c r="N124" s="57">
        <f>M107+M106+M104+M103+M102+M101+M100+M99+M98+M87+M85+M80+M79+M77+M76+M75+M74+M73+M72+M61+M59+M58+M56+M55+M53+M52+M51+M50+M48+M34+M32+M31+M30+M26+M24+M23+M21+M20+M19+M17+M16+M14+M12</f>
        <v>198405.05999999997</v>
      </c>
    </row>
    <row r="125" spans="5:14" x14ac:dyDescent="0.25">
      <c r="E125" s="28"/>
      <c r="H125" s="253">
        <f>SUM(H98:H107)</f>
        <v>20025</v>
      </c>
      <c r="I125" s="253">
        <f t="shared" ref="I125:L125" si="24">SUM(I98:I107)</f>
        <v>20025</v>
      </c>
      <c r="J125" s="253">
        <f>SUM(J98:J107)</f>
        <v>635.39</v>
      </c>
      <c r="K125" s="253">
        <f>SUM(K98:K107)</f>
        <v>448.16999999999996</v>
      </c>
      <c r="L125" s="253">
        <f t="shared" si="24"/>
        <v>0</v>
      </c>
      <c r="M125" s="253">
        <f>SUM(M98:M107)</f>
        <v>20212.22</v>
      </c>
    </row>
    <row r="126" spans="5:14" x14ac:dyDescent="0.25">
      <c r="E126" s="29"/>
      <c r="F126" s="27"/>
      <c r="G126" s="27"/>
      <c r="H126" s="27"/>
      <c r="I126" s="27"/>
      <c r="J126" s="220"/>
      <c r="K126" s="27"/>
      <c r="L126" s="27"/>
      <c r="M126" s="27"/>
      <c r="N126" s="27"/>
    </row>
    <row r="127" spans="5:14" x14ac:dyDescent="0.25">
      <c r="F127" s="282"/>
    </row>
    <row r="129" spans="5:14" x14ac:dyDescent="0.25">
      <c r="H129" s="57">
        <f>H125+H88+H62+H35</f>
        <v>239988.28</v>
      </c>
      <c r="M129" s="57">
        <f>M125+M88+M62+M35</f>
        <v>216617.29</v>
      </c>
    </row>
    <row r="131" spans="5:14" x14ac:dyDescent="0.25">
      <c r="E131" s="26"/>
      <c r="H131" s="26"/>
      <c r="N131" s="57">
        <f>M111+M88+M61+M35</f>
        <v>161758.07</v>
      </c>
    </row>
    <row r="132" spans="5:14" x14ac:dyDescent="0.25">
      <c r="K132" s="43">
        <f>K124+K88+K62+K35</f>
        <v>23558.21</v>
      </c>
    </row>
    <row r="134" spans="5:14" x14ac:dyDescent="0.25">
      <c r="M134" s="57">
        <f>K125+K88+K62+K35</f>
        <v>24006.379999999997</v>
      </c>
    </row>
    <row r="135" spans="5:14" x14ac:dyDescent="0.25">
      <c r="J135" s="42">
        <f>I110+J110-K110</f>
        <v>204590.29</v>
      </c>
    </row>
    <row r="142" spans="5:14" x14ac:dyDescent="0.25">
      <c r="M142" s="57">
        <f>M107+M106+M104+M103+M102+M101+M100+M99+M98+M87+M85+M80+M79+M77+M76+M75+M74+M73+M72+M61+M59+M58+M56+M55+M53+M52+M51+M50+M48+M34+M32+M31+M30+M28+M26+M24+M23+M21+M20+M19+M17+M16+M14+M12</f>
        <v>204590.29</v>
      </c>
    </row>
    <row r="146" spans="5:14" x14ac:dyDescent="0.25">
      <c r="E146" s="26"/>
      <c r="H146" s="26"/>
    </row>
    <row r="147" spans="5:14" x14ac:dyDescent="0.25">
      <c r="E147" s="27"/>
      <c r="F147" s="27"/>
      <c r="G147" s="27"/>
      <c r="H147" s="27"/>
      <c r="I147" s="27"/>
      <c r="J147" s="220"/>
      <c r="K147" s="27"/>
      <c r="L147" s="27"/>
      <c r="M147" s="27"/>
      <c r="N147" s="27"/>
    </row>
  </sheetData>
  <sheetProtection selectLockedCells="1" selectUnlockedCells="1"/>
  <mergeCells count="27">
    <mergeCell ref="D110:G110"/>
    <mergeCell ref="M119:N119"/>
    <mergeCell ref="M120:N120"/>
    <mergeCell ref="D37:N37"/>
    <mergeCell ref="I41:J41"/>
    <mergeCell ref="K41:M41"/>
    <mergeCell ref="D63:N63"/>
    <mergeCell ref="I67:J67"/>
    <mergeCell ref="K67:M67"/>
    <mergeCell ref="D38:N38"/>
    <mergeCell ref="I93:J93"/>
    <mergeCell ref="K93:M93"/>
    <mergeCell ref="D4:N4"/>
    <mergeCell ref="D90:N90"/>
    <mergeCell ref="D91:N91"/>
    <mergeCell ref="D92:N92"/>
    <mergeCell ref="D3:N3"/>
    <mergeCell ref="D5:N5"/>
    <mergeCell ref="K7:M7"/>
    <mergeCell ref="I7:J7"/>
    <mergeCell ref="D6:N6"/>
    <mergeCell ref="D39:N39"/>
    <mergeCell ref="D40:N40"/>
    <mergeCell ref="D64:N64"/>
    <mergeCell ref="D65:N65"/>
    <mergeCell ref="D89:N89"/>
    <mergeCell ref="D66:N66"/>
  </mergeCells>
  <phoneticPr fontId="0" type="noConversion"/>
  <pageMargins left="0" right="0" top="0" bottom="0" header="0.11811023622047245" footer="0.23622047244094491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F194"/>
  <sheetViews>
    <sheetView topLeftCell="A162" zoomScale="40" zoomScaleNormal="40" workbookViewId="0">
      <selection activeCell="D135" sqref="D135:M16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14.44140625" style="395" customWidth="1"/>
    <col min="5" max="5" width="115.44140625" style="1" customWidth="1"/>
    <col min="6" max="6" width="78" style="1" customWidth="1"/>
    <col min="7" max="7" width="8.33203125" style="1" customWidth="1"/>
    <col min="8" max="8" width="26.33203125" style="1" customWidth="1"/>
    <col min="9" max="9" width="28.33203125" style="1" customWidth="1"/>
    <col min="10" max="10" width="23.33203125" style="45" bestFit="1" customWidth="1"/>
    <col min="11" max="11" width="25.88671875" style="45" bestFit="1" customWidth="1"/>
    <col min="12" max="12" width="19.44140625" style="1" hidden="1" customWidth="1"/>
    <col min="13" max="13" width="27.109375" style="1" customWidth="1"/>
    <col min="14" max="14" width="155.88671875" style="1" customWidth="1"/>
    <col min="15" max="15" width="24" style="1" customWidth="1"/>
    <col min="16" max="16" width="11.44140625" style="1"/>
    <col min="17" max="17" width="12.109375" style="1" bestFit="1" customWidth="1"/>
    <col min="18" max="16384" width="11.44140625" style="1"/>
  </cols>
  <sheetData>
    <row r="2" spans="4:18" x14ac:dyDescent="0.25">
      <c r="D2" s="393"/>
      <c r="E2" s="10"/>
      <c r="F2" s="10"/>
      <c r="G2" s="10"/>
      <c r="H2" s="10"/>
      <c r="I2" s="10"/>
      <c r="J2" s="226"/>
      <c r="K2" s="226"/>
      <c r="L2" s="10"/>
      <c r="M2" s="10"/>
      <c r="N2" s="10"/>
    </row>
    <row r="3" spans="4:18" ht="35.1" customHeight="1" x14ac:dyDescent="0.4">
      <c r="D3" s="571" t="s">
        <v>175</v>
      </c>
      <c r="E3" s="572"/>
      <c r="F3" s="572"/>
      <c r="G3" s="572"/>
      <c r="H3" s="572"/>
      <c r="I3" s="572"/>
      <c r="J3" s="572"/>
      <c r="K3" s="572"/>
      <c r="L3" s="572"/>
      <c r="M3" s="572"/>
      <c r="N3" s="573"/>
    </row>
    <row r="4" spans="4:18" ht="35.1" customHeight="1" x14ac:dyDescent="0.4">
      <c r="D4" s="586" t="s">
        <v>138</v>
      </c>
      <c r="E4" s="587"/>
      <c r="F4" s="587"/>
      <c r="G4" s="587"/>
      <c r="H4" s="587"/>
      <c r="I4" s="587"/>
      <c r="J4" s="587"/>
      <c r="K4" s="587"/>
      <c r="L4" s="587"/>
      <c r="M4" s="587"/>
      <c r="N4" s="588"/>
    </row>
    <row r="5" spans="4:18" ht="35.1" customHeight="1" x14ac:dyDescent="0.4">
      <c r="D5" s="574" t="str">
        <f>PERMANENTES!D5</f>
        <v>NOMINA 1A QUINCENA DE ENERO DE 2022</v>
      </c>
      <c r="E5" s="575"/>
      <c r="F5" s="575"/>
      <c r="G5" s="575"/>
      <c r="H5" s="575"/>
      <c r="I5" s="575"/>
      <c r="J5" s="575"/>
      <c r="K5" s="575"/>
      <c r="L5" s="575"/>
      <c r="M5" s="575"/>
      <c r="N5" s="576"/>
    </row>
    <row r="6" spans="4:18" ht="35.1" customHeight="1" x14ac:dyDescent="0.4">
      <c r="D6" s="580" t="s">
        <v>125</v>
      </c>
      <c r="E6" s="581"/>
      <c r="F6" s="581"/>
      <c r="G6" s="581"/>
      <c r="H6" s="581"/>
      <c r="I6" s="581"/>
      <c r="J6" s="581"/>
      <c r="K6" s="581"/>
      <c r="L6" s="581"/>
      <c r="M6" s="581"/>
      <c r="N6" s="582"/>
    </row>
    <row r="7" spans="4:18" ht="35.1" customHeight="1" x14ac:dyDescent="0.4">
      <c r="D7" s="583" t="s">
        <v>232</v>
      </c>
      <c r="E7" s="365"/>
      <c r="F7" s="376"/>
      <c r="G7" s="371" t="s">
        <v>4</v>
      </c>
      <c r="H7" s="577" t="s">
        <v>0</v>
      </c>
      <c r="I7" s="578"/>
      <c r="J7" s="579"/>
      <c r="K7" s="367"/>
      <c r="L7" s="368"/>
      <c r="M7" s="366"/>
      <c r="N7" s="369"/>
    </row>
    <row r="8" spans="4:18" ht="35.1" customHeight="1" x14ac:dyDescent="0.4">
      <c r="D8" s="584"/>
      <c r="E8" s="369"/>
      <c r="F8" s="369"/>
      <c r="G8" s="370" t="s">
        <v>5</v>
      </c>
      <c r="H8" s="371" t="s">
        <v>1</v>
      </c>
      <c r="I8" s="371" t="s">
        <v>124</v>
      </c>
      <c r="J8" s="372" t="s">
        <v>128</v>
      </c>
      <c r="K8" s="372"/>
      <c r="L8" s="366" t="s">
        <v>142</v>
      </c>
      <c r="M8" s="366" t="s">
        <v>127</v>
      </c>
      <c r="N8" s="373"/>
    </row>
    <row r="9" spans="4:18" ht="35.1" customHeight="1" x14ac:dyDescent="0.4">
      <c r="D9" s="584"/>
      <c r="E9" s="371"/>
      <c r="F9" s="373" t="s">
        <v>10</v>
      </c>
      <c r="G9" s="366"/>
      <c r="H9" s="366" t="s">
        <v>7</v>
      </c>
      <c r="I9" s="366" t="s">
        <v>127</v>
      </c>
      <c r="J9" s="370" t="s">
        <v>129</v>
      </c>
      <c r="K9" s="370" t="s">
        <v>130</v>
      </c>
      <c r="L9" s="366" t="s">
        <v>144</v>
      </c>
      <c r="M9" s="366" t="s">
        <v>133</v>
      </c>
      <c r="N9" s="371" t="s">
        <v>136</v>
      </c>
    </row>
    <row r="10" spans="4:18" ht="35.1" customHeight="1" x14ac:dyDescent="0.4">
      <c r="D10" s="585"/>
      <c r="E10" s="371" t="s">
        <v>69</v>
      </c>
      <c r="F10" s="371" t="s">
        <v>9</v>
      </c>
      <c r="G10" s="371"/>
      <c r="H10" s="371"/>
      <c r="I10" s="371"/>
      <c r="J10" s="372"/>
      <c r="K10" s="374"/>
      <c r="L10" s="375"/>
      <c r="M10" s="371"/>
      <c r="N10" s="371"/>
    </row>
    <row r="11" spans="4:18" s="7" customFormat="1" ht="60" customHeight="1" x14ac:dyDescent="0.5">
      <c r="D11" s="494"/>
      <c r="E11" s="495" t="s">
        <v>19</v>
      </c>
      <c r="F11" s="496"/>
      <c r="G11" s="497"/>
      <c r="H11" s="498"/>
      <c r="I11" s="498"/>
      <c r="J11" s="499"/>
      <c r="K11" s="500"/>
      <c r="L11" s="501"/>
      <c r="M11" s="498"/>
      <c r="N11" s="498"/>
    </row>
    <row r="12" spans="4:18" s="7" customFormat="1" ht="60" customHeight="1" x14ac:dyDescent="0.5">
      <c r="D12" s="502" t="s">
        <v>473</v>
      </c>
      <c r="E12" s="503" t="s">
        <v>343</v>
      </c>
      <c r="F12" s="504" t="s">
        <v>344</v>
      </c>
      <c r="G12" s="505">
        <v>15</v>
      </c>
      <c r="H12" s="440">
        <v>4024</v>
      </c>
      <c r="I12" s="435">
        <f>ROUND(H12/15*G12,2)</f>
        <v>4024</v>
      </c>
      <c r="J12" s="43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436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302.63</v>
      </c>
      <c r="L12" s="435"/>
      <c r="M12" s="435">
        <f t="shared" ref="M12" si="0">I12+J12-K12-L12</f>
        <v>3721.37</v>
      </c>
      <c r="N12" s="506"/>
      <c r="O12" s="392">
        <v>4024.0799999999995</v>
      </c>
    </row>
    <row r="13" spans="4:18" ht="60" customHeight="1" x14ac:dyDescent="0.5">
      <c r="D13" s="444" t="s">
        <v>474</v>
      </c>
      <c r="E13" s="503" t="s">
        <v>322</v>
      </c>
      <c r="F13" s="504" t="s">
        <v>17</v>
      </c>
      <c r="G13" s="505">
        <v>15</v>
      </c>
      <c r="H13" s="436">
        <v>3159</v>
      </c>
      <c r="I13" s="435">
        <f t="shared" ref="I13:I24" si="1">ROUND(H13/15*G13,2)</f>
        <v>3159</v>
      </c>
      <c r="J13" s="436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436">
        <f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83.41</v>
      </c>
      <c r="L13" s="435">
        <v>0</v>
      </c>
      <c r="M13" s="435">
        <f>I13+J13-K13-L13</f>
        <v>3075.59</v>
      </c>
      <c r="N13" s="435"/>
      <c r="O13" s="392">
        <v>3158.8199999999997</v>
      </c>
      <c r="Q13" s="45"/>
      <c r="R13" s="47"/>
    </row>
    <row r="14" spans="4:18" ht="60" customHeight="1" x14ac:dyDescent="0.5">
      <c r="D14" s="444" t="s">
        <v>475</v>
      </c>
      <c r="E14" s="503" t="s">
        <v>306</v>
      </c>
      <c r="F14" s="504" t="s">
        <v>17</v>
      </c>
      <c r="G14" s="505">
        <v>15</v>
      </c>
      <c r="H14" s="436">
        <v>3159</v>
      </c>
      <c r="I14" s="435">
        <f t="shared" si="1"/>
        <v>3159</v>
      </c>
      <c r="J14" s="43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436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83.41</v>
      </c>
      <c r="L14" s="435"/>
      <c r="M14" s="435">
        <f>I14+J14-K14-L14</f>
        <v>3075.59</v>
      </c>
      <c r="N14" s="435"/>
      <c r="O14" s="392">
        <v>3158.8199999999997</v>
      </c>
      <c r="Q14" s="45"/>
      <c r="R14" s="47"/>
    </row>
    <row r="15" spans="4:18" ht="60" customHeight="1" x14ac:dyDescent="0.5">
      <c r="D15" s="444"/>
      <c r="E15" s="507" t="s">
        <v>158</v>
      </c>
      <c r="F15" s="504"/>
      <c r="G15" s="505"/>
      <c r="H15" s="440"/>
      <c r="I15" s="435"/>
      <c r="J15" s="436"/>
      <c r="K15" s="436"/>
      <c r="L15" s="435"/>
      <c r="M15" s="435"/>
      <c r="N15" s="435"/>
      <c r="O15" s="392">
        <v>0</v>
      </c>
      <c r="Q15" s="45"/>
      <c r="R15" s="47"/>
    </row>
    <row r="16" spans="4:18" ht="60" customHeight="1" x14ac:dyDescent="0.5">
      <c r="D16" s="444" t="s">
        <v>476</v>
      </c>
      <c r="E16" s="503" t="s">
        <v>302</v>
      </c>
      <c r="F16" s="504" t="s">
        <v>116</v>
      </c>
      <c r="G16" s="505">
        <v>15</v>
      </c>
      <c r="H16" s="440">
        <v>8280</v>
      </c>
      <c r="I16" s="435">
        <f t="shared" si="1"/>
        <v>8280</v>
      </c>
      <c r="J16" s="436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436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1057.51</v>
      </c>
      <c r="L16" s="435">
        <v>0</v>
      </c>
      <c r="M16" s="435">
        <f>I16+J16-K16-L16</f>
        <v>7222.49</v>
      </c>
      <c r="N16" s="435"/>
      <c r="O16" s="392">
        <v>8280</v>
      </c>
      <c r="Q16" s="45"/>
      <c r="R16" s="47"/>
    </row>
    <row r="17" spans="4:18" ht="60" hidden="1" customHeight="1" x14ac:dyDescent="0.5">
      <c r="D17" s="444"/>
      <c r="E17" s="507"/>
      <c r="F17" s="504"/>
      <c r="G17" s="505"/>
      <c r="H17" s="440">
        <v>0</v>
      </c>
      <c r="I17" s="435">
        <f t="shared" ref="I17" si="2">H17</f>
        <v>0</v>
      </c>
      <c r="J17" s="436"/>
      <c r="K17" s="436">
        <f>IFERROR(IF(ROUND((((I17/G17*30.4)-VLOOKUP((I17/G17*30.4),TARIFA,1))*VLOOKUP((I17/G17*30.4),TARIFA,3)+VLOOKUP((I17/G17*30.4),TARIFA,2)-VLOOKUP((I17/G17*30.4),SUBSIDIO,2))/30.4*G17,2)&gt;0,ROUND((((I17/G17*30.4)-VLOOKUP((I17/G17*30.4),TARIFA,1))*VLOOKUP((I17/G17*30.4),TARIFA,3)+VLOOKUP((I17/G17*30.4),TARIFA,2)-VLOOKUP((I17/G17*30.4),SUBSIDIO,2))/30.4*G17,2),0),0)</f>
        <v>0</v>
      </c>
      <c r="L17" s="435"/>
      <c r="M17" s="435">
        <f t="shared" ref="M17:M18" si="3">I17+J17-K17-L17</f>
        <v>0</v>
      </c>
      <c r="N17" s="435"/>
      <c r="O17" s="392">
        <v>0</v>
      </c>
      <c r="Q17" s="45"/>
      <c r="R17" s="47"/>
    </row>
    <row r="18" spans="4:18" ht="60" customHeight="1" x14ac:dyDescent="0.5">
      <c r="D18" s="444" t="s">
        <v>477</v>
      </c>
      <c r="E18" s="503" t="s">
        <v>421</v>
      </c>
      <c r="F18" s="504" t="s">
        <v>15</v>
      </c>
      <c r="G18" s="505">
        <v>15</v>
      </c>
      <c r="H18" s="440">
        <v>3414</v>
      </c>
      <c r="I18" s="435">
        <f t="shared" si="1"/>
        <v>3414</v>
      </c>
      <c r="J18" s="436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436">
        <f>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</f>
        <v>111.16</v>
      </c>
      <c r="L18" s="435"/>
      <c r="M18" s="435">
        <f t="shared" si="3"/>
        <v>3302.84</v>
      </c>
      <c r="N18" s="435"/>
      <c r="O18" s="392">
        <v>3414.4649999999997</v>
      </c>
      <c r="Q18" s="45"/>
      <c r="R18" s="47"/>
    </row>
    <row r="19" spans="4:18" ht="60" customHeight="1" x14ac:dyDescent="0.5">
      <c r="D19" s="444"/>
      <c r="E19" s="507" t="s">
        <v>155</v>
      </c>
      <c r="F19" s="504"/>
      <c r="G19" s="505"/>
      <c r="H19" s="440"/>
      <c r="I19" s="435"/>
      <c r="J19" s="436"/>
      <c r="K19" s="436"/>
      <c r="L19" s="435"/>
      <c r="M19" s="435"/>
      <c r="N19" s="435"/>
      <c r="O19" s="392">
        <v>0</v>
      </c>
      <c r="Q19" s="45"/>
      <c r="R19" s="47"/>
    </row>
    <row r="20" spans="4:18" ht="60" customHeight="1" x14ac:dyDescent="0.5">
      <c r="D20" s="447" t="s">
        <v>478</v>
      </c>
      <c r="E20" s="503" t="s">
        <v>304</v>
      </c>
      <c r="F20" s="439" t="s">
        <v>282</v>
      </c>
      <c r="G20" s="508">
        <v>15</v>
      </c>
      <c r="H20" s="434">
        <v>4024</v>
      </c>
      <c r="I20" s="435">
        <f t="shared" si="1"/>
        <v>4024</v>
      </c>
      <c r="J20" s="436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435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302.63</v>
      </c>
      <c r="L20" s="435">
        <v>0</v>
      </c>
      <c r="M20" s="435">
        <f t="shared" ref="M20" si="4">I20+J20-K20</f>
        <v>3721.37</v>
      </c>
      <c r="N20" s="435"/>
      <c r="O20" s="392">
        <v>4024.0799999999995</v>
      </c>
      <c r="Q20" s="45"/>
      <c r="R20" s="47"/>
    </row>
    <row r="21" spans="4:18" ht="60" customHeight="1" x14ac:dyDescent="0.5">
      <c r="D21" s="447" t="s">
        <v>430</v>
      </c>
      <c r="E21" s="503" t="s">
        <v>429</v>
      </c>
      <c r="F21" s="439" t="s">
        <v>282</v>
      </c>
      <c r="G21" s="505">
        <v>15</v>
      </c>
      <c r="H21" s="436">
        <v>3159</v>
      </c>
      <c r="I21" s="435">
        <f t="shared" si="1"/>
        <v>3159</v>
      </c>
      <c r="J21" s="436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436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83.41</v>
      </c>
      <c r="L21" s="435"/>
      <c r="M21" s="435">
        <f>I21+J21-K21-L21</f>
        <v>3075.59</v>
      </c>
      <c r="N21" s="435"/>
      <c r="O21" s="392">
        <v>3158.8199999999997</v>
      </c>
      <c r="Q21" s="45"/>
      <c r="R21" s="47"/>
    </row>
    <row r="22" spans="4:18" ht="60" customHeight="1" x14ac:dyDescent="0.5">
      <c r="D22" s="430" t="s">
        <v>250</v>
      </c>
      <c r="E22" s="431" t="s">
        <v>388</v>
      </c>
      <c r="F22" s="431" t="s">
        <v>35</v>
      </c>
      <c r="G22" s="433">
        <v>15</v>
      </c>
      <c r="H22" s="440">
        <v>4373</v>
      </c>
      <c r="I22" s="435">
        <f t="shared" si="1"/>
        <v>4373</v>
      </c>
      <c r="J22" s="436">
        <f t="shared" ref="J22:J24" si="5"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436">
        <f t="shared" ref="K22:K24" si="6">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</f>
        <v>340.6</v>
      </c>
      <c r="L22" s="435"/>
      <c r="M22" s="435">
        <f t="shared" ref="M22:M24" si="7">I22+J22-K22-L22</f>
        <v>4032.4</v>
      </c>
      <c r="N22" s="435"/>
      <c r="O22" s="392">
        <v>4372.875</v>
      </c>
      <c r="Q22" s="45"/>
      <c r="R22" s="47"/>
    </row>
    <row r="23" spans="4:18" ht="60" customHeight="1" x14ac:dyDescent="0.5">
      <c r="D23" s="509" t="s">
        <v>240</v>
      </c>
      <c r="E23" s="431" t="s">
        <v>387</v>
      </c>
      <c r="F23" s="431" t="s">
        <v>35</v>
      </c>
      <c r="G23" s="433">
        <v>15</v>
      </c>
      <c r="H23" s="440">
        <v>3159</v>
      </c>
      <c r="I23" s="435">
        <f t="shared" si="1"/>
        <v>3159</v>
      </c>
      <c r="J23" s="436">
        <f t="shared" si="5"/>
        <v>0</v>
      </c>
      <c r="K23" s="436">
        <f t="shared" si="6"/>
        <v>83.41</v>
      </c>
      <c r="L23" s="435">
        <v>0</v>
      </c>
      <c r="M23" s="440">
        <f t="shared" si="7"/>
        <v>3075.59</v>
      </c>
      <c r="N23" s="435"/>
      <c r="O23" s="392">
        <v>3158.8199999999997</v>
      </c>
      <c r="Q23" s="45"/>
      <c r="R23" s="47"/>
    </row>
    <row r="24" spans="4:18" ht="60" customHeight="1" x14ac:dyDescent="0.5">
      <c r="D24" s="444" t="s">
        <v>479</v>
      </c>
      <c r="E24" s="503" t="s">
        <v>305</v>
      </c>
      <c r="F24" s="504" t="s">
        <v>35</v>
      </c>
      <c r="G24" s="505">
        <v>15</v>
      </c>
      <c r="H24" s="440">
        <v>3159</v>
      </c>
      <c r="I24" s="435">
        <f t="shared" si="1"/>
        <v>3159</v>
      </c>
      <c r="J24" s="436">
        <f t="shared" si="5"/>
        <v>0</v>
      </c>
      <c r="K24" s="436">
        <f t="shared" si="6"/>
        <v>83.41</v>
      </c>
      <c r="L24" s="435"/>
      <c r="M24" s="440">
        <f t="shared" si="7"/>
        <v>3075.59</v>
      </c>
      <c r="N24" s="435"/>
      <c r="O24" s="392">
        <v>3158.8199999999997</v>
      </c>
      <c r="Q24" s="45"/>
      <c r="R24" s="47"/>
    </row>
    <row r="25" spans="4:18" ht="60" customHeight="1" x14ac:dyDescent="0.5">
      <c r="D25" s="444"/>
      <c r="E25" s="507" t="s">
        <v>111</v>
      </c>
      <c r="F25" s="504" t="s">
        <v>157</v>
      </c>
      <c r="G25" s="505"/>
      <c r="H25" s="440"/>
      <c r="I25" s="435"/>
      <c r="J25" s="436"/>
      <c r="K25" s="436"/>
      <c r="L25" s="435"/>
      <c r="M25" s="435"/>
      <c r="N25" s="435"/>
      <c r="O25" s="392">
        <v>0</v>
      </c>
      <c r="Q25" s="45"/>
      <c r="R25" s="47"/>
    </row>
    <row r="26" spans="4:18" ht="60" customHeight="1" x14ac:dyDescent="0.5">
      <c r="D26" s="444"/>
      <c r="E26" s="503"/>
      <c r="F26" s="504"/>
      <c r="G26" s="505"/>
      <c r="H26" s="440"/>
      <c r="I26" s="440"/>
      <c r="J26" s="436"/>
      <c r="K26" s="436"/>
      <c r="L26" s="440"/>
      <c r="M26" s="440"/>
      <c r="N26" s="435"/>
      <c r="O26" s="392">
        <v>0</v>
      </c>
      <c r="Q26" s="45"/>
      <c r="R26" s="47"/>
    </row>
    <row r="27" spans="4:18" ht="60" customHeight="1" x14ac:dyDescent="0.5">
      <c r="D27" s="458" t="s">
        <v>480</v>
      </c>
      <c r="E27" s="503" t="s">
        <v>547</v>
      </c>
      <c r="F27" s="510" t="s">
        <v>308</v>
      </c>
      <c r="G27" s="505">
        <v>15</v>
      </c>
      <c r="H27" s="440">
        <v>5502.28</v>
      </c>
      <c r="I27" s="435">
        <f t="shared" ref="I27" si="8">ROUND(H27/15*G27,2)</f>
        <v>5502.28</v>
      </c>
      <c r="J27" s="436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436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502.28</v>
      </c>
      <c r="L27" s="440"/>
      <c r="M27" s="440">
        <f>I27+J27-K27-L27</f>
        <v>5000</v>
      </c>
      <c r="N27" s="435"/>
      <c r="O27" s="392">
        <v>6325.9199999999992</v>
      </c>
      <c r="Q27" s="45"/>
      <c r="R27" s="47"/>
    </row>
    <row r="28" spans="4:18" ht="60" customHeight="1" x14ac:dyDescent="0.5">
      <c r="D28" s="458"/>
      <c r="E28" s="507" t="s">
        <v>384</v>
      </c>
      <c r="F28" s="510"/>
      <c r="G28" s="505"/>
      <c r="H28" s="440"/>
      <c r="I28" s="435"/>
      <c r="J28" s="436"/>
      <c r="K28" s="436"/>
      <c r="L28" s="435"/>
      <c r="M28" s="435"/>
      <c r="N28" s="435"/>
      <c r="O28" s="392">
        <v>0</v>
      </c>
      <c r="Q28" s="45"/>
      <c r="R28" s="47"/>
    </row>
    <row r="29" spans="4:18" ht="60" customHeight="1" x14ac:dyDescent="0.5">
      <c r="D29" s="458" t="s">
        <v>481</v>
      </c>
      <c r="E29" s="503" t="s">
        <v>310</v>
      </c>
      <c r="F29" s="510" t="s">
        <v>15</v>
      </c>
      <c r="G29" s="505">
        <v>15</v>
      </c>
      <c r="H29" s="440">
        <v>3414</v>
      </c>
      <c r="I29" s="435">
        <f t="shared" ref="I29" si="9">ROUND(H29/15*G29,2)</f>
        <v>3414</v>
      </c>
      <c r="J29" s="436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436">
        <f>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</f>
        <v>111.16</v>
      </c>
      <c r="L29" s="435"/>
      <c r="M29" s="435">
        <f t="shared" ref="M29" si="10">I29+J29-K29-L29</f>
        <v>3302.84</v>
      </c>
      <c r="N29" s="435"/>
      <c r="O29" s="392">
        <v>3414.4649999999997</v>
      </c>
      <c r="Q29" s="45"/>
      <c r="R29" s="47"/>
    </row>
    <row r="30" spans="4:18" ht="60" customHeight="1" x14ac:dyDescent="0.5">
      <c r="D30" s="444"/>
      <c r="E30" s="507" t="s">
        <v>100</v>
      </c>
      <c r="F30" s="504"/>
      <c r="G30" s="505"/>
      <c r="H30" s="440"/>
      <c r="I30" s="435"/>
      <c r="J30" s="436"/>
      <c r="K30" s="436"/>
      <c r="L30" s="435"/>
      <c r="M30" s="435"/>
      <c r="N30" s="435"/>
      <c r="O30" s="392">
        <v>0</v>
      </c>
      <c r="Q30" s="45"/>
      <c r="R30" s="47"/>
    </row>
    <row r="31" spans="4:18" ht="60" hidden="1" customHeight="1" x14ac:dyDescent="0.5">
      <c r="D31" s="444"/>
      <c r="E31" s="503"/>
      <c r="F31" s="504"/>
      <c r="G31" s="505"/>
      <c r="H31" s="440"/>
      <c r="I31" s="435"/>
      <c r="J31" s="436"/>
      <c r="K31" s="436"/>
      <c r="L31" s="435"/>
      <c r="M31" s="435"/>
      <c r="N31" s="435"/>
      <c r="O31" s="392">
        <v>0</v>
      </c>
      <c r="Q31" s="45"/>
      <c r="R31" s="47"/>
    </row>
    <row r="32" spans="4:18" ht="60" hidden="1" customHeight="1" x14ac:dyDescent="0.5">
      <c r="D32" s="444"/>
      <c r="E32" s="503"/>
      <c r="F32" s="504"/>
      <c r="G32" s="505"/>
      <c r="H32" s="440">
        <v>0</v>
      </c>
      <c r="I32" s="435">
        <v>0</v>
      </c>
      <c r="J32" s="436"/>
      <c r="K32" s="436">
        <v>0</v>
      </c>
      <c r="L32" s="435"/>
      <c r="M32" s="435">
        <f>I32-K32</f>
        <v>0</v>
      </c>
      <c r="N32" s="435"/>
      <c r="O32" s="392">
        <v>0</v>
      </c>
      <c r="Q32" s="45"/>
      <c r="R32" s="47"/>
    </row>
    <row r="33" spans="2:18" ht="60" customHeight="1" x14ac:dyDescent="0.5">
      <c r="D33" s="444" t="s">
        <v>482</v>
      </c>
      <c r="E33" s="503" t="s">
        <v>312</v>
      </c>
      <c r="F33" s="504" t="s">
        <v>159</v>
      </c>
      <c r="G33" s="505">
        <v>15</v>
      </c>
      <c r="H33" s="435">
        <v>3793</v>
      </c>
      <c r="I33" s="435">
        <f t="shared" ref="I33:I34" si="11">ROUND(H33/15*G33,2)</f>
        <v>3793</v>
      </c>
      <c r="J33" s="436">
        <f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436">
        <f>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</f>
        <v>277.49</v>
      </c>
      <c r="L33" s="435"/>
      <c r="M33" s="440">
        <f>I33+J33-K33-L33</f>
        <v>3515.51</v>
      </c>
      <c r="N33" s="435"/>
      <c r="O33" s="392">
        <v>3793.2749999999996</v>
      </c>
      <c r="Q33" s="45"/>
      <c r="R33" s="47"/>
    </row>
    <row r="34" spans="2:18" ht="60" customHeight="1" x14ac:dyDescent="0.5">
      <c r="D34" s="444" t="s">
        <v>483</v>
      </c>
      <c r="E34" s="503" t="s">
        <v>431</v>
      </c>
      <c r="F34" s="504" t="s">
        <v>15</v>
      </c>
      <c r="G34" s="505">
        <v>15</v>
      </c>
      <c r="H34" s="440">
        <v>4024</v>
      </c>
      <c r="I34" s="435">
        <f t="shared" si="11"/>
        <v>4024</v>
      </c>
      <c r="J34" s="436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436">
        <f>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</f>
        <v>302.63</v>
      </c>
      <c r="L34" s="435"/>
      <c r="M34" s="435">
        <f t="shared" ref="M34" si="12">I34+J34-K34-L34</f>
        <v>3721.37</v>
      </c>
      <c r="N34" s="435"/>
      <c r="O34" s="392">
        <v>4024.0799999999995</v>
      </c>
      <c r="Q34" s="45"/>
      <c r="R34" s="47"/>
    </row>
    <row r="35" spans="2:18" ht="60" customHeight="1" x14ac:dyDescent="0.5">
      <c r="D35" s="444"/>
      <c r="E35" s="443" t="s">
        <v>77</v>
      </c>
      <c r="F35" s="504"/>
      <c r="G35" s="505"/>
      <c r="H35" s="434"/>
      <c r="I35" s="434"/>
      <c r="J35" s="436"/>
      <c r="K35" s="435"/>
      <c r="L35" s="435"/>
      <c r="M35" s="435"/>
      <c r="N35" s="435"/>
      <c r="O35" s="392">
        <v>0</v>
      </c>
      <c r="Q35" s="45"/>
      <c r="R35" s="47"/>
    </row>
    <row r="36" spans="2:18" ht="60" customHeight="1" x14ac:dyDescent="0.5">
      <c r="D36" s="444" t="s">
        <v>484</v>
      </c>
      <c r="E36" s="503" t="s">
        <v>334</v>
      </c>
      <c r="F36" s="504" t="s">
        <v>282</v>
      </c>
      <c r="G36" s="505">
        <v>15</v>
      </c>
      <c r="H36" s="434">
        <v>5695</v>
      </c>
      <c r="I36" s="435">
        <f t="shared" ref="I36" si="13">ROUND(H36/15*G36,2)</f>
        <v>5695</v>
      </c>
      <c r="J36" s="436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435">
        <f>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</f>
        <v>536.58000000000004</v>
      </c>
      <c r="L36" s="435"/>
      <c r="M36" s="435">
        <f t="shared" ref="M36" si="14">I36+J36-K36</f>
        <v>5158.42</v>
      </c>
      <c r="N36" s="435"/>
      <c r="O36" s="392">
        <v>5695.6049999999996</v>
      </c>
      <c r="Q36" s="45"/>
      <c r="R36" s="47"/>
    </row>
    <row r="37" spans="2:18" ht="60" customHeight="1" x14ac:dyDescent="0.5">
      <c r="D37" s="444"/>
      <c r="E37" s="507" t="s">
        <v>82</v>
      </c>
      <c r="F37" s="504"/>
      <c r="G37" s="505"/>
      <c r="H37" s="440"/>
      <c r="I37" s="435"/>
      <c r="J37" s="436"/>
      <c r="K37" s="436"/>
      <c r="L37" s="435"/>
      <c r="M37" s="435"/>
      <c r="N37" s="435"/>
      <c r="O37" s="392">
        <v>0</v>
      </c>
      <c r="Q37" s="45"/>
      <c r="R37" s="47"/>
    </row>
    <row r="38" spans="2:18" ht="60" customHeight="1" x14ac:dyDescent="0.5">
      <c r="D38" s="444" t="s">
        <v>233</v>
      </c>
      <c r="E38" s="503" t="s">
        <v>146</v>
      </c>
      <c r="F38" s="504" t="s">
        <v>154</v>
      </c>
      <c r="G38" s="505">
        <v>15</v>
      </c>
      <c r="H38" s="440">
        <v>3734.85</v>
      </c>
      <c r="I38" s="435">
        <f t="shared" ref="I38" si="15">ROUND(H38/15*G38,2)</f>
        <v>3734.85</v>
      </c>
      <c r="J38" s="436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0</v>
      </c>
      <c r="K38" s="436">
        <f>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</f>
        <v>271.17</v>
      </c>
      <c r="L38" s="435">
        <v>0</v>
      </c>
      <c r="M38" s="435">
        <f>I38+J38-K38-L38</f>
        <v>3463.68</v>
      </c>
      <c r="N38" s="435"/>
      <c r="O38" s="392">
        <v>3681.4949999999999</v>
      </c>
      <c r="Q38" s="45"/>
      <c r="R38" s="47"/>
    </row>
    <row r="39" spans="2:18" ht="45" hidden="1" customHeight="1" x14ac:dyDescent="0.35">
      <c r="D39" s="222"/>
      <c r="E39" s="121"/>
      <c r="F39" s="110"/>
      <c r="G39" s="111"/>
      <c r="H39" s="114"/>
      <c r="I39" s="114"/>
      <c r="J39" s="114"/>
      <c r="K39" s="114"/>
      <c r="L39" s="114"/>
      <c r="M39" s="114"/>
      <c r="N39" s="17"/>
      <c r="O39" s="392">
        <v>0</v>
      </c>
      <c r="Q39" s="45"/>
      <c r="R39" s="47"/>
    </row>
    <row r="40" spans="2:18" ht="45" customHeight="1" x14ac:dyDescent="0.4">
      <c r="D40" s="222"/>
      <c r="E40" s="115"/>
      <c r="F40" s="110"/>
      <c r="G40" s="111"/>
      <c r="H40" s="114"/>
      <c r="I40" s="113"/>
      <c r="J40" s="112"/>
      <c r="K40" s="112"/>
      <c r="L40" s="113"/>
      <c r="M40" s="113"/>
      <c r="N40" s="17"/>
      <c r="O40" s="392">
        <v>0</v>
      </c>
      <c r="Q40" s="45"/>
      <c r="R40" s="47"/>
    </row>
    <row r="41" spans="2:18" ht="38.1" customHeight="1" x14ac:dyDescent="0.25">
      <c r="D41" s="223"/>
      <c r="E41" s="54"/>
      <c r="F41" s="59"/>
      <c r="G41" s="60"/>
      <c r="H41" s="61">
        <f t="shared" ref="H41:M41" si="16">SUM(H12:H38)</f>
        <v>66073.13</v>
      </c>
      <c r="I41" s="61">
        <f t="shared" si="16"/>
        <v>66073.13</v>
      </c>
      <c r="J41" s="61">
        <f t="shared" si="16"/>
        <v>0</v>
      </c>
      <c r="K41" s="61">
        <f t="shared" si="16"/>
        <v>4532.8899999999994</v>
      </c>
      <c r="L41" s="61">
        <f t="shared" si="16"/>
        <v>0</v>
      </c>
      <c r="M41" s="61">
        <f t="shared" si="16"/>
        <v>61540.24</v>
      </c>
      <c r="N41" s="62" t="e">
        <f>M38+#REF!+M36+M33+M29+M27+M24+M23+M22+M20+M18+M16+M14+M13+M12</f>
        <v>#REF!</v>
      </c>
      <c r="O41" s="392">
        <v>66844.439999999988</v>
      </c>
      <c r="Q41" s="45"/>
      <c r="R41" s="47"/>
    </row>
    <row r="42" spans="2:18" ht="32.1" customHeight="1" x14ac:dyDescent="0.35">
      <c r="B42" s="55"/>
      <c r="C42" s="55"/>
      <c r="D42" s="569" t="s">
        <v>12</v>
      </c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392">
        <v>0</v>
      </c>
      <c r="Q42" s="45"/>
      <c r="R42" s="47"/>
    </row>
    <row r="43" spans="2:18" ht="32.1" customHeight="1" x14ac:dyDescent="0.35">
      <c r="B43" s="55"/>
      <c r="C43" s="55"/>
      <c r="D43" s="569" t="s">
        <v>138</v>
      </c>
      <c r="E43" s="569"/>
      <c r="F43" s="569"/>
      <c r="G43" s="569"/>
      <c r="H43" s="569"/>
      <c r="I43" s="569"/>
      <c r="J43" s="569"/>
      <c r="K43" s="569"/>
      <c r="L43" s="569"/>
      <c r="M43" s="569"/>
      <c r="N43" s="569"/>
      <c r="O43" s="392">
        <v>0</v>
      </c>
      <c r="Q43" s="45"/>
      <c r="R43" s="47"/>
    </row>
    <row r="44" spans="2:18" ht="32.1" customHeight="1" x14ac:dyDescent="0.35">
      <c r="B44" s="55"/>
      <c r="C44" s="55"/>
      <c r="D44" s="570" t="str">
        <f>D5</f>
        <v>NOMINA 1A QUINCENA DE ENERO DE 2022</v>
      </c>
      <c r="E44" s="570"/>
      <c r="F44" s="570"/>
      <c r="G44" s="570"/>
      <c r="H44" s="570"/>
      <c r="I44" s="570"/>
      <c r="J44" s="570"/>
      <c r="K44" s="570"/>
      <c r="L44" s="570"/>
      <c r="M44" s="570"/>
      <c r="N44" s="570"/>
      <c r="O44" s="392">
        <v>0</v>
      </c>
      <c r="Q44" s="45"/>
      <c r="R44" s="47"/>
    </row>
    <row r="45" spans="2:18" ht="32.1" customHeight="1" x14ac:dyDescent="0.35">
      <c r="B45" s="55"/>
      <c r="C45" s="55"/>
      <c r="D45" s="570" t="s">
        <v>125</v>
      </c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392">
        <v>0</v>
      </c>
      <c r="Q45" s="45"/>
      <c r="R45" s="47"/>
    </row>
    <row r="46" spans="2:18" ht="32.1" customHeight="1" x14ac:dyDescent="0.4">
      <c r="B46" s="55"/>
      <c r="C46" s="55"/>
      <c r="D46" s="566" t="s">
        <v>232</v>
      </c>
      <c r="E46" s="378"/>
      <c r="F46" s="378"/>
      <c r="G46" s="379" t="s">
        <v>4</v>
      </c>
      <c r="H46" s="552" t="s">
        <v>0</v>
      </c>
      <c r="I46" s="553"/>
      <c r="J46" s="554"/>
      <c r="K46" s="380"/>
      <c r="L46" s="381"/>
      <c r="M46" s="379"/>
      <c r="N46" s="382"/>
      <c r="O46" s="392" t="e">
        <v>#VALUE!</v>
      </c>
      <c r="Q46" s="45"/>
      <c r="R46" s="47"/>
    </row>
    <row r="47" spans="2:18" ht="32.1" customHeight="1" x14ac:dyDescent="0.4">
      <c r="B47" s="55"/>
      <c r="C47" s="55"/>
      <c r="D47" s="567"/>
      <c r="E47" s="382"/>
      <c r="F47" s="379"/>
      <c r="G47" s="383" t="s">
        <v>5</v>
      </c>
      <c r="H47" s="384" t="s">
        <v>1</v>
      </c>
      <c r="I47" s="384" t="s">
        <v>124</v>
      </c>
      <c r="J47" s="385" t="s">
        <v>128</v>
      </c>
      <c r="K47" s="385"/>
      <c r="L47" s="379" t="s">
        <v>142</v>
      </c>
      <c r="M47" s="379" t="s">
        <v>127</v>
      </c>
      <c r="N47" s="386"/>
      <c r="O47" s="392" t="e">
        <v>#VALUE!</v>
      </c>
      <c r="Q47" s="45"/>
      <c r="R47" s="47"/>
    </row>
    <row r="48" spans="2:18" ht="32.1" customHeight="1" x14ac:dyDescent="0.4">
      <c r="B48" s="55"/>
      <c r="C48" s="55"/>
      <c r="D48" s="567"/>
      <c r="E48" s="384"/>
      <c r="F48" s="386" t="s">
        <v>10</v>
      </c>
      <c r="G48" s="379"/>
      <c r="H48" s="379" t="s">
        <v>7</v>
      </c>
      <c r="I48" s="379" t="s">
        <v>127</v>
      </c>
      <c r="J48" s="383" t="s">
        <v>129</v>
      </c>
      <c r="K48" s="383" t="s">
        <v>130</v>
      </c>
      <c r="L48" s="379" t="s">
        <v>144</v>
      </c>
      <c r="M48" s="379" t="s">
        <v>133</v>
      </c>
      <c r="N48" s="384" t="s">
        <v>136</v>
      </c>
      <c r="O48" s="392" t="e">
        <v>#VALUE!</v>
      </c>
      <c r="Q48" s="45"/>
      <c r="R48" s="47"/>
    </row>
    <row r="49" spans="1:18" ht="32.1" customHeight="1" x14ac:dyDescent="0.4">
      <c r="B49" s="55"/>
      <c r="C49" s="55"/>
      <c r="D49" s="568"/>
      <c r="E49" s="384" t="s">
        <v>69</v>
      </c>
      <c r="F49" s="384" t="s">
        <v>9</v>
      </c>
      <c r="G49" s="384"/>
      <c r="H49" s="384"/>
      <c r="I49" s="384"/>
      <c r="J49" s="385"/>
      <c r="K49" s="387"/>
      <c r="L49" s="388"/>
      <c r="M49" s="384"/>
      <c r="N49" s="384"/>
      <c r="O49" s="392">
        <v>0</v>
      </c>
      <c r="Q49" s="45"/>
      <c r="R49" s="47"/>
    </row>
    <row r="50" spans="1:18" ht="60" customHeight="1" x14ac:dyDescent="0.5">
      <c r="B50" s="55"/>
      <c r="C50" s="55"/>
      <c r="D50" s="402"/>
      <c r="E50" s="511" t="s">
        <v>346</v>
      </c>
      <c r="F50" s="512"/>
      <c r="G50" s="513"/>
      <c r="H50" s="410"/>
      <c r="I50" s="407"/>
      <c r="J50" s="408"/>
      <c r="K50" s="408"/>
      <c r="L50" s="407"/>
      <c r="M50" s="407"/>
      <c r="N50" s="377"/>
      <c r="O50" s="392">
        <v>0</v>
      </c>
      <c r="Q50" s="45"/>
      <c r="R50" s="47"/>
    </row>
    <row r="51" spans="1:18" ht="60" customHeight="1" x14ac:dyDescent="0.45">
      <c r="B51" s="55"/>
      <c r="C51" s="55"/>
      <c r="D51" s="402" t="s">
        <v>485</v>
      </c>
      <c r="E51" s="514" t="s">
        <v>347</v>
      </c>
      <c r="F51" s="411" t="s">
        <v>348</v>
      </c>
      <c r="G51" s="515">
        <v>15</v>
      </c>
      <c r="H51" s="410">
        <v>6326</v>
      </c>
      <c r="I51" s="407">
        <f t="shared" ref="I51:I54" si="17">ROUND(H51/15*G51,2)</f>
        <v>6326</v>
      </c>
      <c r="J51" s="408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408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649.65</v>
      </c>
      <c r="L51" s="410"/>
      <c r="M51" s="410">
        <f>I51+J51-K51-L51</f>
        <v>5676.35</v>
      </c>
      <c r="N51" s="361"/>
      <c r="O51" s="392">
        <v>6325.9199999999992</v>
      </c>
      <c r="Q51" s="45"/>
      <c r="R51" s="47"/>
    </row>
    <row r="52" spans="1:18" ht="60" customHeight="1" x14ac:dyDescent="0.45">
      <c r="A52" s="7"/>
      <c r="B52" s="36"/>
      <c r="C52" s="36"/>
      <c r="D52" s="402" t="s">
        <v>486</v>
      </c>
      <c r="E52" s="514" t="s">
        <v>281</v>
      </c>
      <c r="F52" s="516" t="s">
        <v>386</v>
      </c>
      <c r="G52" s="515">
        <v>15</v>
      </c>
      <c r="H52" s="410">
        <v>4070</v>
      </c>
      <c r="I52" s="407">
        <f t="shared" si="17"/>
        <v>4070</v>
      </c>
      <c r="J52" s="408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408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307.63</v>
      </c>
      <c r="L52" s="407"/>
      <c r="M52" s="517">
        <f>I52+J52-K52-L52</f>
        <v>3762.37</v>
      </c>
      <c r="N52" s="389"/>
      <c r="O52" s="392">
        <v>4070.6549999999997</v>
      </c>
      <c r="Q52" s="45"/>
      <c r="R52" s="47"/>
    </row>
    <row r="53" spans="1:18" ht="60" customHeight="1" x14ac:dyDescent="0.45">
      <c r="A53" s="7"/>
      <c r="B53" s="36"/>
      <c r="C53" s="36"/>
      <c r="D53" s="402" t="s">
        <v>487</v>
      </c>
      <c r="E53" s="514" t="s">
        <v>450</v>
      </c>
      <c r="F53" s="516" t="s">
        <v>386</v>
      </c>
      <c r="G53" s="515">
        <v>15</v>
      </c>
      <c r="H53" s="410">
        <v>5082</v>
      </c>
      <c r="I53" s="407">
        <f t="shared" si="17"/>
        <v>5082</v>
      </c>
      <c r="J53" s="408">
        <v>0</v>
      </c>
      <c r="K53" s="408">
        <v>407.52</v>
      </c>
      <c r="L53" s="407"/>
      <c r="M53" s="517">
        <f>I53+J53-K53-L53</f>
        <v>4674.4799999999996</v>
      </c>
      <c r="N53" s="360"/>
      <c r="O53" s="392">
        <v>5081.8499999999995</v>
      </c>
      <c r="Q53" s="45"/>
      <c r="R53" s="47"/>
    </row>
    <row r="54" spans="1:18" ht="60" customHeight="1" x14ac:dyDescent="0.45">
      <c r="A54" s="7"/>
      <c r="B54" s="36"/>
      <c r="C54" s="36"/>
      <c r="D54" s="402"/>
      <c r="E54" s="514" t="s">
        <v>545</v>
      </c>
      <c r="F54" s="516" t="s">
        <v>15</v>
      </c>
      <c r="G54" s="515">
        <v>15</v>
      </c>
      <c r="H54" s="410">
        <v>3300</v>
      </c>
      <c r="I54" s="407">
        <f t="shared" si="17"/>
        <v>3300</v>
      </c>
      <c r="J54" s="408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408">
        <f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98.75</v>
      </c>
      <c r="L54" s="407"/>
      <c r="M54" s="407">
        <f t="shared" ref="M54" si="18">I54+J54-K54-L54</f>
        <v>3201.25</v>
      </c>
      <c r="N54" s="360"/>
      <c r="O54" s="392"/>
      <c r="Q54" s="45"/>
      <c r="R54" s="47"/>
    </row>
    <row r="55" spans="1:18" ht="60" customHeight="1" x14ac:dyDescent="0.5">
      <c r="A55" s="7"/>
      <c r="B55" s="36"/>
      <c r="C55" s="36"/>
      <c r="D55" s="402"/>
      <c r="E55" s="518" t="s">
        <v>382</v>
      </c>
      <c r="F55" s="516"/>
      <c r="G55" s="515"/>
      <c r="H55" s="410"/>
      <c r="I55" s="407"/>
      <c r="J55" s="408"/>
      <c r="K55" s="408"/>
      <c r="L55" s="407"/>
      <c r="M55" s="407"/>
      <c r="N55" s="390"/>
      <c r="O55" s="392">
        <v>0</v>
      </c>
      <c r="Q55" s="45"/>
      <c r="R55" s="47"/>
    </row>
    <row r="56" spans="1:18" ht="60" customHeight="1" x14ac:dyDescent="0.45">
      <c r="A56" s="7"/>
      <c r="B56" s="36"/>
      <c r="C56" s="36"/>
      <c r="D56" s="402" t="s">
        <v>488</v>
      </c>
      <c r="E56" s="514" t="s">
        <v>354</v>
      </c>
      <c r="F56" s="516" t="s">
        <v>63</v>
      </c>
      <c r="G56" s="515">
        <v>15</v>
      </c>
      <c r="H56" s="406">
        <v>4024</v>
      </c>
      <c r="I56" s="407">
        <f t="shared" ref="I56:I57" si="19">ROUND(H56/15*G56,2)</f>
        <v>4024</v>
      </c>
      <c r="J56" s="408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407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302.63</v>
      </c>
      <c r="L56" s="407">
        <v>0</v>
      </c>
      <c r="M56" s="407">
        <f t="shared" ref="M56:M57" si="20">I56+J56-K56</f>
        <v>3721.37</v>
      </c>
      <c r="N56" s="377"/>
      <c r="O56" s="392">
        <v>4024.0799999999995</v>
      </c>
      <c r="Q56" s="45"/>
      <c r="R56" s="47"/>
    </row>
    <row r="57" spans="1:18" ht="60" customHeight="1" x14ac:dyDescent="0.45">
      <c r="A57" s="7"/>
      <c r="B57" s="36"/>
      <c r="C57" s="36"/>
      <c r="D57" s="402" t="s">
        <v>489</v>
      </c>
      <c r="E57" s="514" t="s">
        <v>355</v>
      </c>
      <c r="F57" s="516" t="s">
        <v>383</v>
      </c>
      <c r="G57" s="515">
        <v>15</v>
      </c>
      <c r="H57" s="406">
        <v>4024</v>
      </c>
      <c r="I57" s="407">
        <f t="shared" si="19"/>
        <v>4024</v>
      </c>
      <c r="J57" s="408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407">
        <f>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</f>
        <v>302.63</v>
      </c>
      <c r="L57" s="407">
        <v>0</v>
      </c>
      <c r="M57" s="407">
        <f t="shared" si="20"/>
        <v>3721.37</v>
      </c>
      <c r="N57" s="361"/>
      <c r="O57" s="392">
        <v>4024.0799999999995</v>
      </c>
      <c r="Q57" s="45"/>
      <c r="R57" s="47"/>
    </row>
    <row r="58" spans="1:18" ht="60" customHeight="1" x14ac:dyDescent="0.5">
      <c r="A58" s="7"/>
      <c r="B58" s="36"/>
      <c r="C58" s="36"/>
      <c r="D58" s="402"/>
      <c r="E58" s="518" t="s">
        <v>152</v>
      </c>
      <c r="F58" s="516"/>
      <c r="G58" s="515"/>
      <c r="H58" s="410"/>
      <c r="I58" s="407"/>
      <c r="J58" s="408"/>
      <c r="K58" s="408"/>
      <c r="L58" s="407"/>
      <c r="M58" s="407"/>
      <c r="N58" s="361"/>
      <c r="O58" s="392">
        <v>0</v>
      </c>
      <c r="Q58" s="45"/>
      <c r="R58" s="47"/>
    </row>
    <row r="59" spans="1:18" ht="60" customHeight="1" x14ac:dyDescent="0.45">
      <c r="A59" s="7"/>
      <c r="B59" s="36"/>
      <c r="C59" s="36"/>
      <c r="D59" s="402" t="s">
        <v>490</v>
      </c>
      <c r="E59" s="514" t="s">
        <v>323</v>
      </c>
      <c r="F59" s="516" t="s">
        <v>153</v>
      </c>
      <c r="G59" s="515">
        <v>15</v>
      </c>
      <c r="H59" s="410">
        <v>5082</v>
      </c>
      <c r="I59" s="407">
        <f t="shared" ref="I59:I60" si="21">ROUND(H59/15*G59,2)</f>
        <v>5082</v>
      </c>
      <c r="J59" s="408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408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435.04</v>
      </c>
      <c r="L59" s="407"/>
      <c r="M59" s="410">
        <f>I59+J59-K59-L59</f>
        <v>4646.96</v>
      </c>
      <c r="N59" s="390"/>
      <c r="O59" s="392">
        <v>5081.8499999999995</v>
      </c>
      <c r="Q59" s="45"/>
      <c r="R59" s="47"/>
    </row>
    <row r="60" spans="1:18" ht="60" customHeight="1" x14ac:dyDescent="0.45">
      <c r="A60" s="7"/>
      <c r="B60" s="36"/>
      <c r="C60" s="36"/>
      <c r="D60" s="402" t="s">
        <v>491</v>
      </c>
      <c r="E60" s="514" t="s">
        <v>324</v>
      </c>
      <c r="F60" s="516" t="s">
        <v>282</v>
      </c>
      <c r="G60" s="515">
        <v>15</v>
      </c>
      <c r="H60" s="410">
        <v>3414</v>
      </c>
      <c r="I60" s="407">
        <f t="shared" si="21"/>
        <v>3414</v>
      </c>
      <c r="J60" s="408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08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111.16</v>
      </c>
      <c r="L60" s="407"/>
      <c r="M60" s="407">
        <f t="shared" ref="M60" si="22">I60+J60-K60-L60</f>
        <v>3302.84</v>
      </c>
      <c r="N60" s="390"/>
      <c r="O60" s="392">
        <v>3414.4649999999997</v>
      </c>
      <c r="Q60" s="45"/>
      <c r="R60" s="47"/>
    </row>
    <row r="61" spans="1:18" ht="60" customHeight="1" x14ac:dyDescent="0.5">
      <c r="A61" s="7"/>
      <c r="B61" s="36"/>
      <c r="C61" s="36"/>
      <c r="D61" s="402"/>
      <c r="E61" s="519" t="s">
        <v>36</v>
      </c>
      <c r="F61" s="411"/>
      <c r="G61" s="520"/>
      <c r="H61" s="400"/>
      <c r="I61" s="400"/>
      <c r="J61" s="401"/>
      <c r="K61" s="401"/>
      <c r="L61" s="400"/>
      <c r="M61" s="521"/>
      <c r="N61" s="391"/>
      <c r="O61" s="392">
        <v>0</v>
      </c>
      <c r="Q61" s="45"/>
      <c r="R61" s="47"/>
    </row>
    <row r="62" spans="1:18" ht="60" customHeight="1" x14ac:dyDescent="0.45">
      <c r="A62" s="7"/>
      <c r="B62" s="36"/>
      <c r="C62" s="36"/>
      <c r="D62" s="402" t="s">
        <v>492</v>
      </c>
      <c r="E62" s="522" t="s">
        <v>368</v>
      </c>
      <c r="F62" s="516" t="s">
        <v>370</v>
      </c>
      <c r="G62" s="515">
        <v>15</v>
      </c>
      <c r="H62" s="410">
        <v>3298</v>
      </c>
      <c r="I62" s="407">
        <f t="shared" ref="I62" si="23">ROUND(H62/15*G62,2)</f>
        <v>3298</v>
      </c>
      <c r="J62" s="408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08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98.53</v>
      </c>
      <c r="L62" s="407"/>
      <c r="M62" s="407">
        <f t="shared" ref="M62" si="24">I62+J62-K62-L62</f>
        <v>3199.47</v>
      </c>
      <c r="N62" s="390"/>
      <c r="O62" s="392">
        <v>3298.5449999999996</v>
      </c>
      <c r="Q62" s="45"/>
      <c r="R62" s="47"/>
    </row>
    <row r="63" spans="1:18" ht="60" customHeight="1" x14ac:dyDescent="0.5">
      <c r="A63" s="7"/>
      <c r="B63" s="7"/>
      <c r="C63" s="7"/>
      <c r="D63" s="523"/>
      <c r="E63" s="396" t="s">
        <v>156</v>
      </c>
      <c r="F63" s="397"/>
      <c r="G63" s="398"/>
      <c r="H63" s="399"/>
      <c r="I63" s="400"/>
      <c r="J63" s="401"/>
      <c r="K63" s="401"/>
      <c r="L63" s="400"/>
      <c r="M63" s="400"/>
      <c r="N63" s="358"/>
      <c r="O63" s="392">
        <v>0</v>
      </c>
      <c r="Q63" s="45"/>
      <c r="R63" s="47"/>
    </row>
    <row r="64" spans="1:18" ht="60" customHeight="1" x14ac:dyDescent="0.45">
      <c r="A64" s="7"/>
      <c r="B64" s="7"/>
      <c r="C64" s="7"/>
      <c r="D64" s="445" t="s">
        <v>493</v>
      </c>
      <c r="E64" s="514" t="s">
        <v>366</v>
      </c>
      <c r="F64" s="516" t="s">
        <v>367</v>
      </c>
      <c r="G64" s="515">
        <v>15</v>
      </c>
      <c r="H64" s="407">
        <v>7357</v>
      </c>
      <c r="I64" s="407">
        <f t="shared" ref="I64:I71" si="25">ROUND(H64/15*G64,2)</f>
        <v>7357</v>
      </c>
      <c r="J64" s="408">
        <f t="shared" ref="J64:J81" si="26"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408">
        <f t="shared" ref="K64:K81" si="27"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860.35</v>
      </c>
      <c r="L64" s="407"/>
      <c r="M64" s="410">
        <f t="shared" ref="M64:M81" si="28">I64+J64-K64-L64</f>
        <v>6496.65</v>
      </c>
      <c r="N64" s="359"/>
      <c r="O64" s="392">
        <v>7356.78</v>
      </c>
      <c r="Q64" s="45"/>
      <c r="R64" s="47"/>
    </row>
    <row r="65" spans="1:240" ht="60" customHeight="1" x14ac:dyDescent="0.45">
      <c r="A65" s="7"/>
      <c r="B65" s="7"/>
      <c r="C65" s="7"/>
      <c r="D65" s="445" t="s">
        <v>234</v>
      </c>
      <c r="E65" s="514" t="s">
        <v>163</v>
      </c>
      <c r="F65" s="516" t="s">
        <v>29</v>
      </c>
      <c r="G65" s="515">
        <v>15</v>
      </c>
      <c r="H65" s="410">
        <v>3159</v>
      </c>
      <c r="I65" s="407">
        <f t="shared" si="25"/>
        <v>3159</v>
      </c>
      <c r="J65" s="408">
        <f t="shared" si="26"/>
        <v>0</v>
      </c>
      <c r="K65" s="408">
        <f t="shared" si="27"/>
        <v>83.41</v>
      </c>
      <c r="L65" s="407"/>
      <c r="M65" s="410">
        <f t="shared" si="28"/>
        <v>3075.59</v>
      </c>
      <c r="N65" s="359"/>
      <c r="O65" s="392">
        <v>3158.8199999999997</v>
      </c>
      <c r="Q65" s="45"/>
      <c r="R65" s="47"/>
    </row>
    <row r="66" spans="1:240" ht="60" customHeight="1" x14ac:dyDescent="0.45">
      <c r="A66" s="7"/>
      <c r="B66" s="7"/>
      <c r="C66" s="7"/>
      <c r="D66" s="445" t="s">
        <v>235</v>
      </c>
      <c r="E66" s="514" t="s">
        <v>164</v>
      </c>
      <c r="F66" s="516" t="s">
        <v>29</v>
      </c>
      <c r="G66" s="515">
        <v>15</v>
      </c>
      <c r="H66" s="410">
        <v>3159</v>
      </c>
      <c r="I66" s="407">
        <f t="shared" si="25"/>
        <v>3159</v>
      </c>
      <c r="J66" s="408">
        <f t="shared" ref="J66" si="29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408">
        <f t="shared" ref="K66" si="30">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</f>
        <v>83.41</v>
      </c>
      <c r="L66" s="407"/>
      <c r="M66" s="410">
        <f t="shared" ref="M66" si="31">I66+J66-K66-L66</f>
        <v>3075.59</v>
      </c>
      <c r="N66" s="359"/>
      <c r="O66" s="392">
        <v>3158.8199999999997</v>
      </c>
      <c r="Q66" s="45"/>
      <c r="R66" s="47"/>
    </row>
    <row r="67" spans="1:240" ht="60" customHeight="1" x14ac:dyDescent="0.45">
      <c r="A67" s="7"/>
      <c r="B67" s="7"/>
      <c r="C67" s="7"/>
      <c r="D67" s="445" t="s">
        <v>236</v>
      </c>
      <c r="E67" s="411" t="s">
        <v>53</v>
      </c>
      <c r="F67" s="524" t="s">
        <v>39</v>
      </c>
      <c r="G67" s="405">
        <v>15</v>
      </c>
      <c r="H67" s="410">
        <v>3530</v>
      </c>
      <c r="I67" s="407">
        <f t="shared" si="25"/>
        <v>3530</v>
      </c>
      <c r="J67" s="408">
        <f t="shared" si="26"/>
        <v>0</v>
      </c>
      <c r="K67" s="408">
        <f t="shared" si="27"/>
        <v>141.5</v>
      </c>
      <c r="L67" s="407">
        <v>0</v>
      </c>
      <c r="M67" s="410">
        <f t="shared" si="28"/>
        <v>3388.5</v>
      </c>
      <c r="N67" s="359"/>
      <c r="O67" s="392">
        <v>3530.3849999999998</v>
      </c>
      <c r="Q67" s="45"/>
      <c r="R67" s="47"/>
    </row>
    <row r="68" spans="1:240" ht="60" customHeight="1" x14ac:dyDescent="0.45">
      <c r="A68" s="7"/>
      <c r="B68" s="7"/>
      <c r="C68" s="7"/>
      <c r="D68" s="445" t="s">
        <v>237</v>
      </c>
      <c r="E68" s="411" t="s">
        <v>84</v>
      </c>
      <c r="F68" s="524" t="s">
        <v>29</v>
      </c>
      <c r="G68" s="405">
        <v>15</v>
      </c>
      <c r="H68" s="410">
        <v>3159</v>
      </c>
      <c r="I68" s="407">
        <f t="shared" si="25"/>
        <v>3159</v>
      </c>
      <c r="J68" s="408">
        <f t="shared" ref="J68" si="32"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408">
        <f t="shared" ref="K68" si="33">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</f>
        <v>83.41</v>
      </c>
      <c r="L68" s="407"/>
      <c r="M68" s="410">
        <f t="shared" ref="M68" si="34">I68+J68-K68-L68</f>
        <v>3075.59</v>
      </c>
      <c r="N68" s="359"/>
      <c r="O68" s="392">
        <v>3158.8199999999997</v>
      </c>
      <c r="Q68" s="45"/>
      <c r="R68" s="47"/>
    </row>
    <row r="69" spans="1:240" ht="60" customHeight="1" x14ac:dyDescent="0.45">
      <c r="A69" s="7"/>
      <c r="B69" s="7"/>
      <c r="C69" s="7"/>
      <c r="D69" s="445" t="s">
        <v>238</v>
      </c>
      <c r="E69" s="403" t="s">
        <v>87</v>
      </c>
      <c r="F69" s="404" t="s">
        <v>29</v>
      </c>
      <c r="G69" s="405">
        <v>15</v>
      </c>
      <c r="H69" s="410">
        <v>3472</v>
      </c>
      <c r="I69" s="407">
        <f t="shared" si="25"/>
        <v>3472</v>
      </c>
      <c r="J69" s="408">
        <f t="shared" si="26"/>
        <v>0</v>
      </c>
      <c r="K69" s="408">
        <f t="shared" si="27"/>
        <v>117.47</v>
      </c>
      <c r="L69" s="407">
        <v>0</v>
      </c>
      <c r="M69" s="410">
        <f t="shared" si="28"/>
        <v>3354.53</v>
      </c>
      <c r="N69" s="359"/>
      <c r="O69" s="392">
        <v>3472.4249999999997</v>
      </c>
      <c r="Q69" s="45"/>
      <c r="R69" s="47"/>
    </row>
    <row r="70" spans="1:240" ht="60" customHeight="1" x14ac:dyDescent="0.45">
      <c r="A70" s="7"/>
      <c r="B70" s="7"/>
      <c r="C70" s="7"/>
      <c r="D70" s="445" t="s">
        <v>239</v>
      </c>
      <c r="E70" s="403" t="s">
        <v>106</v>
      </c>
      <c r="F70" s="403" t="s">
        <v>105</v>
      </c>
      <c r="G70" s="405">
        <v>15</v>
      </c>
      <c r="H70" s="410">
        <v>3159</v>
      </c>
      <c r="I70" s="407">
        <f t="shared" si="25"/>
        <v>3159</v>
      </c>
      <c r="J70" s="408">
        <f t="shared" si="26"/>
        <v>0</v>
      </c>
      <c r="K70" s="408">
        <f t="shared" si="27"/>
        <v>83.41</v>
      </c>
      <c r="L70" s="407"/>
      <c r="M70" s="410">
        <f t="shared" si="28"/>
        <v>3075.59</v>
      </c>
      <c r="N70" s="359"/>
      <c r="O70" s="392">
        <v>3158.8199999999997</v>
      </c>
      <c r="Q70" s="45"/>
      <c r="R70" s="47"/>
    </row>
    <row r="71" spans="1:240" ht="60" customHeight="1" x14ac:dyDescent="0.45">
      <c r="A71" s="7"/>
      <c r="B71" s="7"/>
      <c r="C71" s="7"/>
      <c r="D71" s="445" t="s">
        <v>241</v>
      </c>
      <c r="E71" s="403" t="s">
        <v>73</v>
      </c>
      <c r="F71" s="403" t="s">
        <v>52</v>
      </c>
      <c r="G71" s="405">
        <v>15</v>
      </c>
      <c r="H71" s="410">
        <v>3159</v>
      </c>
      <c r="I71" s="407">
        <f t="shared" si="25"/>
        <v>3159</v>
      </c>
      <c r="J71" s="408">
        <f t="shared" ref="J71" si="35"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0</v>
      </c>
      <c r="K71" s="408">
        <f t="shared" ref="K71" si="36">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</f>
        <v>83.41</v>
      </c>
      <c r="L71" s="407"/>
      <c r="M71" s="410">
        <f t="shared" ref="M71" si="37">I71+J71-K71-L71</f>
        <v>3075.59</v>
      </c>
      <c r="N71" s="359"/>
      <c r="O71" s="392">
        <v>3158.8199999999997</v>
      </c>
      <c r="Q71" s="45"/>
      <c r="R71" s="47"/>
    </row>
    <row r="72" spans="1:240" ht="60" hidden="1" customHeight="1" x14ac:dyDescent="0.45">
      <c r="A72" s="7"/>
      <c r="B72" s="7"/>
      <c r="C72" s="7"/>
      <c r="D72" s="445"/>
      <c r="E72" s="403"/>
      <c r="F72" s="403"/>
      <c r="G72" s="405"/>
      <c r="H72" s="410"/>
      <c r="I72" s="407">
        <f t="shared" ref="I72" si="38">H72</f>
        <v>0</v>
      </c>
      <c r="J72" s="408"/>
      <c r="K72" s="408"/>
      <c r="L72" s="407"/>
      <c r="M72" s="410"/>
      <c r="N72" s="359"/>
      <c r="O72" s="392">
        <v>0</v>
      </c>
      <c r="Q72" s="45"/>
      <c r="R72" s="47"/>
    </row>
    <row r="73" spans="1:240" ht="60" customHeight="1" x14ac:dyDescent="0.45">
      <c r="A73" s="7"/>
      <c r="B73" s="7"/>
      <c r="C73" s="7"/>
      <c r="D73" s="445" t="s">
        <v>242</v>
      </c>
      <c r="E73" s="403" t="s">
        <v>80</v>
      </c>
      <c r="F73" s="403" t="s">
        <v>29</v>
      </c>
      <c r="G73" s="405">
        <v>15</v>
      </c>
      <c r="H73" s="410">
        <v>5080</v>
      </c>
      <c r="I73" s="407">
        <f t="shared" ref="I73:I81" si="39">ROUND(H73/15*G73,2)</f>
        <v>5080</v>
      </c>
      <c r="J73" s="408">
        <f t="shared" si="26"/>
        <v>0</v>
      </c>
      <c r="K73" s="408">
        <f t="shared" si="27"/>
        <v>434.72</v>
      </c>
      <c r="L73" s="407">
        <v>0</v>
      </c>
      <c r="M73" s="410">
        <f t="shared" si="28"/>
        <v>4645.28</v>
      </c>
      <c r="N73" s="359"/>
      <c r="O73" s="392">
        <v>5079.78</v>
      </c>
      <c r="Q73" s="45"/>
      <c r="R73" s="47"/>
    </row>
    <row r="74" spans="1:240" ht="60" customHeight="1" x14ac:dyDescent="0.45">
      <c r="A74" s="7"/>
      <c r="B74" s="7"/>
      <c r="C74" s="7"/>
      <c r="D74" s="445" t="s">
        <v>243</v>
      </c>
      <c r="E74" s="403" t="s">
        <v>88</v>
      </c>
      <c r="F74" s="403" t="s">
        <v>29</v>
      </c>
      <c r="G74" s="405">
        <v>15</v>
      </c>
      <c r="H74" s="410">
        <v>2579</v>
      </c>
      <c r="I74" s="407">
        <f t="shared" si="39"/>
        <v>2579</v>
      </c>
      <c r="J74" s="408">
        <f t="shared" si="26"/>
        <v>9.49</v>
      </c>
      <c r="K74" s="408">
        <f t="shared" si="27"/>
        <v>0</v>
      </c>
      <c r="L74" s="407">
        <v>0</v>
      </c>
      <c r="M74" s="410">
        <f t="shared" si="28"/>
        <v>2588.4899999999998</v>
      </c>
      <c r="N74" s="359"/>
      <c r="O74" s="392">
        <v>2579.2199999999998</v>
      </c>
      <c r="Q74" s="45"/>
      <c r="R74" s="47"/>
    </row>
    <row r="75" spans="1:240" ht="60" customHeight="1" x14ac:dyDescent="0.45">
      <c r="A75" s="7"/>
      <c r="B75" s="7"/>
      <c r="C75" s="7"/>
      <c r="D75" s="445" t="s">
        <v>244</v>
      </c>
      <c r="E75" s="403" t="s">
        <v>86</v>
      </c>
      <c r="F75" s="403" t="s">
        <v>29</v>
      </c>
      <c r="G75" s="405">
        <v>15</v>
      </c>
      <c r="H75" s="410">
        <v>3159</v>
      </c>
      <c r="I75" s="407">
        <f t="shared" si="39"/>
        <v>3159</v>
      </c>
      <c r="J75" s="408">
        <f t="shared" si="26"/>
        <v>0</v>
      </c>
      <c r="K75" s="408">
        <f t="shared" si="27"/>
        <v>83.41</v>
      </c>
      <c r="L75" s="407"/>
      <c r="M75" s="410">
        <f t="shared" si="28"/>
        <v>3075.59</v>
      </c>
      <c r="N75" s="359"/>
      <c r="O75" s="392">
        <v>3158.8199999999997</v>
      </c>
      <c r="Q75" s="45"/>
      <c r="R75" s="47"/>
    </row>
    <row r="76" spans="1:240" ht="60" customHeight="1" x14ac:dyDescent="0.45">
      <c r="A76" s="7"/>
      <c r="B76" s="7"/>
      <c r="C76" s="7"/>
      <c r="D76" s="445" t="s">
        <v>245</v>
      </c>
      <c r="E76" s="403" t="s">
        <v>114</v>
      </c>
      <c r="F76" s="403" t="s">
        <v>29</v>
      </c>
      <c r="G76" s="405">
        <v>15</v>
      </c>
      <c r="H76" s="410">
        <v>3159</v>
      </c>
      <c r="I76" s="407">
        <f t="shared" si="39"/>
        <v>3159</v>
      </c>
      <c r="J76" s="408">
        <f t="shared" ref="J76" si="40"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408">
        <f t="shared" ref="K76" si="41">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</f>
        <v>83.41</v>
      </c>
      <c r="L76" s="407"/>
      <c r="M76" s="410">
        <f t="shared" ref="M76" si="42">I76+J76-K76-L76</f>
        <v>3075.59</v>
      </c>
      <c r="N76" s="359"/>
      <c r="O76" s="392">
        <v>3158.8199999999997</v>
      </c>
      <c r="Q76" s="45"/>
      <c r="R76" s="47"/>
    </row>
    <row r="77" spans="1:240" ht="60" customHeight="1" x14ac:dyDescent="0.45">
      <c r="A77" s="7"/>
      <c r="B77" s="7"/>
      <c r="C77" s="7"/>
      <c r="D77" s="445" t="s">
        <v>246</v>
      </c>
      <c r="E77" s="403" t="s">
        <v>85</v>
      </c>
      <c r="F77" s="403" t="s">
        <v>29</v>
      </c>
      <c r="G77" s="405">
        <v>15</v>
      </c>
      <c r="H77" s="406">
        <v>4024</v>
      </c>
      <c r="I77" s="407">
        <f t="shared" si="39"/>
        <v>4024</v>
      </c>
      <c r="J77" s="408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407">
        <f>IFERROR(IF(ROUND((((I77/G77*30.4)-VLOOKUP((I77/G77*30.4),TARIFA,1))*VLOOKUP((I77/G77*30.4),TARIFA,3)+VLOOKUP((I77/G77*30.4),TARIFA,2)-VLOOKUP((I77/G77*30.4),SUBSIDIO,2))/30.4*G77,2)&gt;0,ROUND((((I77/G77*30.4)-VLOOKUP((I77/G77*30.4),TARIFA,1))*VLOOKUP((I77/G77*30.4),TARIFA,3)+VLOOKUP((I77/G77*30.4),TARIFA,2)-VLOOKUP((I77/G77*30.4),SUBSIDIO,2))/30.4*G77,2),0),0)</f>
        <v>302.63</v>
      </c>
      <c r="L77" s="407">
        <v>0</v>
      </c>
      <c r="M77" s="407">
        <f t="shared" ref="M77" si="43">I77+J77-K77</f>
        <v>3721.37</v>
      </c>
      <c r="N77" s="359"/>
      <c r="O77" s="392">
        <v>4024.0799999999995</v>
      </c>
      <c r="Q77" s="45"/>
      <c r="R77" s="47"/>
    </row>
    <row r="78" spans="1:240" ht="60" customHeight="1" x14ac:dyDescent="0.45">
      <c r="A78" s="7"/>
      <c r="B78" s="273"/>
      <c r="C78" s="333"/>
      <c r="D78" s="445" t="s">
        <v>494</v>
      </c>
      <c r="E78" s="403" t="s">
        <v>369</v>
      </c>
      <c r="F78" s="403" t="s">
        <v>29</v>
      </c>
      <c r="G78" s="405">
        <v>15</v>
      </c>
      <c r="H78" s="410">
        <v>4373</v>
      </c>
      <c r="I78" s="407">
        <f t="shared" si="39"/>
        <v>4373</v>
      </c>
      <c r="J78" s="408">
        <f t="shared" si="26"/>
        <v>0</v>
      </c>
      <c r="K78" s="408">
        <f t="shared" si="27"/>
        <v>340.6</v>
      </c>
      <c r="L78" s="407">
        <v>0</v>
      </c>
      <c r="M78" s="410">
        <f t="shared" si="28"/>
        <v>4032.4</v>
      </c>
      <c r="N78" s="359"/>
      <c r="O78" s="392">
        <v>4372.875</v>
      </c>
      <c r="P78" s="48"/>
      <c r="Q78" s="49"/>
      <c r="R78" s="47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37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</row>
    <row r="79" spans="1:240" ht="60" customHeight="1" x14ac:dyDescent="0.45">
      <c r="A79" s="7"/>
      <c r="B79" s="7"/>
      <c r="C79" s="7"/>
      <c r="D79" s="445" t="s">
        <v>495</v>
      </c>
      <c r="E79" s="522" t="s">
        <v>371</v>
      </c>
      <c r="F79" s="411" t="s">
        <v>39</v>
      </c>
      <c r="G79" s="515">
        <v>15</v>
      </c>
      <c r="H79" s="410">
        <v>3667</v>
      </c>
      <c r="I79" s="407">
        <f t="shared" si="39"/>
        <v>3667</v>
      </c>
      <c r="J79" s="408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408">
        <f>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</f>
        <v>263.77999999999997</v>
      </c>
      <c r="L79" s="407">
        <v>0</v>
      </c>
      <c r="M79" s="407">
        <f>I79+J79-K79-L79</f>
        <v>3403.2200000000003</v>
      </c>
      <c r="N79" s="359"/>
      <c r="O79" s="392">
        <v>3667.0049999999997</v>
      </c>
      <c r="P79" s="36"/>
      <c r="Q79" s="46"/>
      <c r="R79" s="47"/>
    </row>
    <row r="80" spans="1:240" ht="60" customHeight="1" x14ac:dyDescent="0.45">
      <c r="A80" s="7"/>
      <c r="B80" s="7"/>
      <c r="C80" s="7"/>
      <c r="D80" s="445" t="s">
        <v>496</v>
      </c>
      <c r="E80" s="522" t="s">
        <v>426</v>
      </c>
      <c r="F80" s="409" t="s">
        <v>427</v>
      </c>
      <c r="G80" s="515">
        <v>15</v>
      </c>
      <c r="H80" s="410">
        <v>3159</v>
      </c>
      <c r="I80" s="407">
        <f t="shared" si="39"/>
        <v>3159</v>
      </c>
      <c r="J80" s="408">
        <f t="shared" ref="J80" si="44"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408">
        <f t="shared" ref="K80" si="45">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</f>
        <v>83.41</v>
      </c>
      <c r="L80" s="407"/>
      <c r="M80" s="410">
        <f t="shared" ref="M80" si="46">I80+J80-K80-L80</f>
        <v>3075.59</v>
      </c>
      <c r="N80" s="359"/>
      <c r="O80" s="392">
        <v>3158.8199999999997</v>
      </c>
      <c r="P80" s="36"/>
      <c r="Q80" s="46"/>
      <c r="R80" s="47"/>
    </row>
    <row r="81" spans="1:18" ht="60" customHeight="1" x14ac:dyDescent="0.45">
      <c r="A81" s="7"/>
      <c r="B81" s="7"/>
      <c r="C81" s="7"/>
      <c r="D81" s="445" t="s">
        <v>497</v>
      </c>
      <c r="E81" s="403" t="s">
        <v>372</v>
      </c>
      <c r="F81" s="403" t="s">
        <v>373</v>
      </c>
      <c r="G81" s="405">
        <v>15</v>
      </c>
      <c r="H81" s="410">
        <v>5696</v>
      </c>
      <c r="I81" s="407">
        <f t="shared" si="39"/>
        <v>5696</v>
      </c>
      <c r="J81" s="408">
        <f t="shared" si="26"/>
        <v>0</v>
      </c>
      <c r="K81" s="408">
        <f t="shared" si="27"/>
        <v>536.76</v>
      </c>
      <c r="L81" s="407">
        <v>0</v>
      </c>
      <c r="M81" s="410">
        <f t="shared" si="28"/>
        <v>5159.24</v>
      </c>
      <c r="N81" s="359"/>
      <c r="O81" s="392">
        <v>5695.6049999999996</v>
      </c>
      <c r="Q81" s="45"/>
      <c r="R81" s="47"/>
    </row>
    <row r="82" spans="1:18" ht="45" hidden="1" customHeight="1" x14ac:dyDescent="0.35">
      <c r="D82" s="224"/>
      <c r="E82" s="116"/>
      <c r="F82" s="119"/>
      <c r="G82" s="118"/>
      <c r="H82" s="114"/>
      <c r="I82" s="113"/>
      <c r="J82" s="112"/>
      <c r="K82" s="112"/>
      <c r="L82" s="113"/>
      <c r="M82" s="113"/>
      <c r="N82" s="17"/>
      <c r="O82" s="392">
        <v>0</v>
      </c>
      <c r="Q82" s="45"/>
      <c r="R82" s="47"/>
    </row>
    <row r="83" spans="1:18" ht="45" hidden="1" customHeight="1" x14ac:dyDescent="0.35">
      <c r="D83" s="224"/>
      <c r="E83" s="116"/>
      <c r="F83" s="119"/>
      <c r="G83" s="118"/>
      <c r="H83" s="120"/>
      <c r="I83" s="113"/>
      <c r="J83" s="112"/>
      <c r="K83" s="112"/>
      <c r="L83" s="113">
        <v>0</v>
      </c>
      <c r="M83" s="113"/>
      <c r="N83" s="17"/>
      <c r="O83" s="392">
        <v>0</v>
      </c>
      <c r="Q83" s="45"/>
      <c r="R83" s="47"/>
    </row>
    <row r="84" spans="1:18" ht="38.1" customHeight="1" x14ac:dyDescent="0.25">
      <c r="D84" s="225"/>
      <c r="E84" s="106"/>
      <c r="F84" s="107"/>
      <c r="G84" s="108"/>
      <c r="H84" s="109">
        <f>SUM(H51:H81)</f>
        <v>103670</v>
      </c>
      <c r="I84" s="109">
        <f t="shared" ref="I84:M84" si="47">SUM(I51:I81)</f>
        <v>103670</v>
      </c>
      <c r="J84" s="109">
        <f t="shared" si="47"/>
        <v>9.49</v>
      </c>
      <c r="K84" s="109">
        <f t="shared" si="47"/>
        <v>6378.6299999999992</v>
      </c>
      <c r="L84" s="109">
        <f t="shared" si="47"/>
        <v>0</v>
      </c>
      <c r="M84" s="109">
        <f t="shared" si="47"/>
        <v>97300.859999999971</v>
      </c>
      <c r="N84" s="68"/>
      <c r="O84" s="392">
        <v>100370.15999999999</v>
      </c>
      <c r="Q84" s="45"/>
      <c r="R84" s="47"/>
    </row>
    <row r="85" spans="1:18" ht="38.1" customHeight="1" x14ac:dyDescent="0.45">
      <c r="D85" s="562" t="s">
        <v>12</v>
      </c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392">
        <v>0</v>
      </c>
      <c r="Q85" s="45"/>
      <c r="R85" s="47"/>
    </row>
    <row r="86" spans="1:18" ht="38.1" customHeight="1" x14ac:dyDescent="0.45">
      <c r="D86" s="562" t="s">
        <v>138</v>
      </c>
      <c r="E86" s="562"/>
      <c r="F86" s="562"/>
      <c r="G86" s="562"/>
      <c r="H86" s="562"/>
      <c r="I86" s="562"/>
      <c r="J86" s="562"/>
      <c r="K86" s="562"/>
      <c r="L86" s="562"/>
      <c r="M86" s="562"/>
      <c r="N86" s="562"/>
      <c r="O86" s="392">
        <v>0</v>
      </c>
      <c r="Q86" s="45"/>
      <c r="R86" s="47"/>
    </row>
    <row r="87" spans="1:18" ht="38.1" customHeight="1" x14ac:dyDescent="0.45">
      <c r="D87" s="560" t="str">
        <f>D5</f>
        <v>NOMINA 1A QUINCENA DE ENERO DE 2022</v>
      </c>
      <c r="E87" s="560"/>
      <c r="F87" s="560"/>
      <c r="G87" s="560"/>
      <c r="H87" s="560"/>
      <c r="I87" s="560"/>
      <c r="J87" s="560"/>
      <c r="K87" s="560"/>
      <c r="L87" s="560"/>
      <c r="M87" s="560"/>
      <c r="N87" s="560"/>
      <c r="O87" s="392">
        <v>0</v>
      </c>
      <c r="Q87" s="45"/>
      <c r="R87" s="47"/>
    </row>
    <row r="88" spans="1:18" ht="38.1" customHeight="1" x14ac:dyDescent="0.45">
      <c r="D88" s="560" t="s">
        <v>125</v>
      </c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392">
        <v>0</v>
      </c>
      <c r="Q88" s="45"/>
      <c r="R88" s="47"/>
    </row>
    <row r="89" spans="1:18" ht="38.1" customHeight="1" x14ac:dyDescent="0.5">
      <c r="D89" s="563" t="s">
        <v>232</v>
      </c>
      <c r="E89" s="412"/>
      <c r="F89" s="412"/>
      <c r="G89" s="413" t="s">
        <v>4</v>
      </c>
      <c r="H89" s="556" t="s">
        <v>0</v>
      </c>
      <c r="I89" s="557"/>
      <c r="J89" s="558"/>
      <c r="K89" s="414"/>
      <c r="L89" s="415"/>
      <c r="M89" s="413"/>
      <c r="N89" s="416"/>
      <c r="O89" s="392" t="e">
        <v>#VALUE!</v>
      </c>
      <c r="Q89" s="45"/>
      <c r="R89" s="47"/>
    </row>
    <row r="90" spans="1:18" ht="38.1" customHeight="1" x14ac:dyDescent="0.5">
      <c r="D90" s="564"/>
      <c r="E90" s="416"/>
      <c r="F90" s="413"/>
      <c r="G90" s="417" t="s">
        <v>5</v>
      </c>
      <c r="H90" s="418" t="s">
        <v>1</v>
      </c>
      <c r="I90" s="418" t="s">
        <v>124</v>
      </c>
      <c r="J90" s="419" t="s">
        <v>128</v>
      </c>
      <c r="K90" s="419"/>
      <c r="L90" s="413" t="s">
        <v>142</v>
      </c>
      <c r="M90" s="413" t="s">
        <v>127</v>
      </c>
      <c r="N90" s="420"/>
      <c r="O90" s="392" t="e">
        <v>#VALUE!</v>
      </c>
      <c r="Q90" s="45"/>
      <c r="R90" s="47"/>
    </row>
    <row r="91" spans="1:18" ht="38.1" customHeight="1" x14ac:dyDescent="0.5">
      <c r="D91" s="564"/>
      <c r="E91" s="418"/>
      <c r="F91" s="420" t="s">
        <v>10</v>
      </c>
      <c r="G91" s="413"/>
      <c r="H91" s="413" t="s">
        <v>7</v>
      </c>
      <c r="I91" s="413" t="s">
        <v>127</v>
      </c>
      <c r="J91" s="417" t="s">
        <v>129</v>
      </c>
      <c r="K91" s="417" t="s">
        <v>130</v>
      </c>
      <c r="L91" s="413" t="s">
        <v>144</v>
      </c>
      <c r="M91" s="413" t="s">
        <v>133</v>
      </c>
      <c r="N91" s="418" t="s">
        <v>136</v>
      </c>
      <c r="O91" s="392" t="e">
        <v>#VALUE!</v>
      </c>
      <c r="Q91" s="45"/>
      <c r="R91" s="47"/>
    </row>
    <row r="92" spans="1:18" ht="38.1" customHeight="1" x14ac:dyDescent="0.5">
      <c r="D92" s="565"/>
      <c r="E92" s="418" t="s">
        <v>69</v>
      </c>
      <c r="F92" s="418" t="s">
        <v>9</v>
      </c>
      <c r="G92" s="418"/>
      <c r="H92" s="418"/>
      <c r="I92" s="418"/>
      <c r="J92" s="419"/>
      <c r="K92" s="421"/>
      <c r="L92" s="422"/>
      <c r="M92" s="418"/>
      <c r="N92" s="418"/>
      <c r="O92" s="392">
        <v>0</v>
      </c>
      <c r="Q92" s="45"/>
      <c r="R92" s="47"/>
    </row>
    <row r="93" spans="1:18" ht="60" customHeight="1" x14ac:dyDescent="0.5">
      <c r="D93" s="423"/>
      <c r="E93" s="424" t="s">
        <v>165</v>
      </c>
      <c r="F93" s="425"/>
      <c r="G93" s="426"/>
      <c r="H93" s="427"/>
      <c r="I93" s="428"/>
      <c r="J93" s="429"/>
      <c r="K93" s="429"/>
      <c r="L93" s="428"/>
      <c r="M93" s="428"/>
      <c r="N93" s="428"/>
      <c r="O93" s="392">
        <v>0</v>
      </c>
      <c r="Q93" s="45"/>
      <c r="R93" s="47"/>
    </row>
    <row r="94" spans="1:18" ht="60" customHeight="1" x14ac:dyDescent="0.5">
      <c r="D94" s="430" t="s">
        <v>498</v>
      </c>
      <c r="E94" s="431" t="s">
        <v>345</v>
      </c>
      <c r="F94" s="432" t="s">
        <v>166</v>
      </c>
      <c r="G94" s="433">
        <v>15</v>
      </c>
      <c r="H94" s="434">
        <v>4024</v>
      </c>
      <c r="I94" s="435">
        <f t="shared" ref="I94" si="48">ROUND(H94/15*G94,2)</f>
        <v>4024</v>
      </c>
      <c r="J94" s="436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435">
        <f>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</f>
        <v>302.63</v>
      </c>
      <c r="L94" s="435">
        <v>0</v>
      </c>
      <c r="M94" s="435">
        <f t="shared" ref="M94" si="49">I94+J94-K94</f>
        <v>3721.37</v>
      </c>
      <c r="N94" s="435"/>
      <c r="O94" s="392">
        <v>4024.0799999999995</v>
      </c>
      <c r="Q94" s="45"/>
      <c r="R94" s="47"/>
    </row>
    <row r="95" spans="1:18" ht="60" hidden="1" customHeight="1" x14ac:dyDescent="0.5">
      <c r="D95" s="430"/>
      <c r="E95" s="437"/>
      <c r="F95" s="438"/>
      <c r="G95" s="433"/>
      <c r="H95" s="434"/>
      <c r="I95" s="434"/>
      <c r="J95" s="436"/>
      <c r="K95" s="435"/>
      <c r="L95" s="435"/>
      <c r="M95" s="435"/>
      <c r="N95" s="435"/>
      <c r="O95" s="392">
        <v>0</v>
      </c>
      <c r="Q95" s="45"/>
      <c r="R95" s="47"/>
    </row>
    <row r="96" spans="1:18" ht="60" hidden="1" customHeight="1" x14ac:dyDescent="0.5">
      <c r="D96" s="430"/>
      <c r="E96" s="439"/>
      <c r="F96" s="438"/>
      <c r="G96" s="433">
        <v>15</v>
      </c>
      <c r="H96" s="440">
        <v>0</v>
      </c>
      <c r="I96" s="435">
        <v>0</v>
      </c>
      <c r="J96" s="436"/>
      <c r="K96" s="436">
        <f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435"/>
      <c r="M96" s="435">
        <f t="shared" ref="M96" si="50">I96+J96-K96-L96</f>
        <v>0</v>
      </c>
      <c r="N96" s="435"/>
      <c r="O96" s="392">
        <v>0</v>
      </c>
      <c r="Q96" s="45"/>
      <c r="R96" s="47"/>
    </row>
    <row r="97" spans="4:18" ht="60" customHeight="1" x14ac:dyDescent="0.5">
      <c r="D97" s="430"/>
      <c r="E97" s="441" t="s">
        <v>167</v>
      </c>
      <c r="F97" s="438"/>
      <c r="G97" s="433"/>
      <c r="H97" s="440"/>
      <c r="I97" s="435"/>
      <c r="J97" s="436"/>
      <c r="K97" s="436"/>
      <c r="L97" s="435"/>
      <c r="M97" s="435"/>
      <c r="N97" s="435"/>
      <c r="O97" s="392">
        <v>0</v>
      </c>
      <c r="Q97" s="45"/>
      <c r="R97" s="47"/>
    </row>
    <row r="98" spans="4:18" ht="60" customHeight="1" x14ac:dyDescent="0.5">
      <c r="D98" s="430" t="s">
        <v>499</v>
      </c>
      <c r="E98" s="442" t="s">
        <v>267</v>
      </c>
      <c r="F98" s="438" t="s">
        <v>168</v>
      </c>
      <c r="G98" s="433">
        <v>15</v>
      </c>
      <c r="H98" s="440">
        <v>3159</v>
      </c>
      <c r="I98" s="435">
        <f t="shared" ref="I98" si="51">ROUND(H98/15*G98,2)</f>
        <v>3159</v>
      </c>
      <c r="J98" s="436">
        <f t="shared" ref="J98" si="52">IFERROR(IF(ROUND((((I98/G98*30.4)-VLOOKUP((I98/G98*30.4),TARIFA,1))*VLOOKUP((I98/G98*30.4),TARIFA,3)+VLOOKUP((I98/G98*30.4),TARIFA,2)-VLOOKUP((I98/G98*30.4),SUBSIDIO,2))/30.4*G98,2)&lt;0,ROUND(-(((I98/G98*30.4)-VLOOKUP((I98/G98*30.4),TARIFA,1))*VLOOKUP((I98/G98*30.4),TARIFA,3)+VLOOKUP((I98/G98*30.4),TARIFA,2)-VLOOKUP((I98/G98*30.4),SUBSIDIO,2))/30.4*G98,2),0),0)</f>
        <v>0</v>
      </c>
      <c r="K98" s="436">
        <f t="shared" ref="K98" si="53">IFERROR(IF(ROUND((((I98/G98*30.4)-VLOOKUP((I98/G98*30.4),TARIFA,1))*VLOOKUP((I98/G98*30.4),TARIFA,3)+VLOOKUP((I98/G98*30.4),TARIFA,2)-VLOOKUP((I98/G98*30.4),SUBSIDIO,2))/30.4*G98,2)&gt;0,ROUND((((I98/G98*30.4)-VLOOKUP((I98/G98*30.4),TARIFA,1))*VLOOKUP((I98/G98*30.4),TARIFA,3)+VLOOKUP((I98/G98*30.4),TARIFA,2)-VLOOKUP((I98/G98*30.4),SUBSIDIO,2))/30.4*G98,2),0),0)</f>
        <v>83.41</v>
      </c>
      <c r="L98" s="435"/>
      <c r="M98" s="435">
        <f t="shared" ref="M98" si="54">I98+J98-K98-L98</f>
        <v>3075.59</v>
      </c>
      <c r="N98" s="435"/>
      <c r="O98" s="392">
        <v>3158.8199999999997</v>
      </c>
      <c r="Q98" s="45"/>
      <c r="R98" s="47"/>
    </row>
    <row r="99" spans="4:18" ht="60" customHeight="1" x14ac:dyDescent="0.5">
      <c r="D99" s="430"/>
      <c r="E99" s="437" t="s">
        <v>315</v>
      </c>
      <c r="F99" s="438"/>
      <c r="G99" s="433"/>
      <c r="H99" s="435"/>
      <c r="I99" s="435"/>
      <c r="J99" s="436"/>
      <c r="K99" s="436"/>
      <c r="L99" s="435"/>
      <c r="M99" s="435"/>
      <c r="N99" s="435"/>
      <c r="O99" s="392">
        <v>0</v>
      </c>
      <c r="Q99" s="45"/>
      <c r="R99" s="47"/>
    </row>
    <row r="100" spans="4:18" ht="60" customHeight="1" x14ac:dyDescent="0.5">
      <c r="D100" s="430" t="s">
        <v>500</v>
      </c>
      <c r="E100" s="439" t="s">
        <v>316</v>
      </c>
      <c r="F100" s="438" t="s">
        <v>317</v>
      </c>
      <c r="G100" s="433">
        <v>15</v>
      </c>
      <c r="H100" s="434">
        <v>4024</v>
      </c>
      <c r="I100" s="435">
        <f t="shared" ref="I100" si="55">ROUND(H100/15*G100,2)</f>
        <v>4024</v>
      </c>
      <c r="J100" s="436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435">
        <f>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</f>
        <v>302.63</v>
      </c>
      <c r="L100" s="435">
        <v>0</v>
      </c>
      <c r="M100" s="435">
        <f t="shared" ref="M100" si="56">I100+J100-K100</f>
        <v>3721.37</v>
      </c>
      <c r="N100" s="435"/>
      <c r="O100" s="392">
        <v>4024.0799999999995</v>
      </c>
      <c r="Q100" s="45"/>
      <c r="R100" s="47"/>
    </row>
    <row r="101" spans="4:18" ht="60" hidden="1" customHeight="1" x14ac:dyDescent="0.5">
      <c r="D101" s="430"/>
      <c r="E101" s="443"/>
      <c r="F101" s="438"/>
      <c r="G101" s="433"/>
      <c r="H101" s="434"/>
      <c r="I101" s="434"/>
      <c r="J101" s="436"/>
      <c r="K101" s="435"/>
      <c r="L101" s="435"/>
      <c r="M101" s="435"/>
      <c r="N101" s="435"/>
      <c r="O101" s="392">
        <v>0</v>
      </c>
      <c r="Q101" s="45"/>
      <c r="R101" s="47"/>
    </row>
    <row r="102" spans="4:18" ht="60" hidden="1" customHeight="1" x14ac:dyDescent="0.5">
      <c r="D102" s="430"/>
      <c r="E102" s="439"/>
      <c r="F102" s="438"/>
      <c r="G102" s="433"/>
      <c r="H102" s="440"/>
      <c r="I102" s="435"/>
      <c r="J102" s="436"/>
      <c r="K102" s="436"/>
      <c r="L102" s="435"/>
      <c r="M102" s="435"/>
      <c r="N102" s="435"/>
      <c r="O102" s="392">
        <v>0</v>
      </c>
      <c r="Q102" s="45"/>
      <c r="R102" s="47"/>
    </row>
    <row r="103" spans="4:18" ht="60" hidden="1" customHeight="1" x14ac:dyDescent="0.5">
      <c r="D103" s="430"/>
      <c r="E103" s="443"/>
      <c r="F103" s="432"/>
      <c r="G103" s="433"/>
      <c r="H103" s="440"/>
      <c r="I103" s="435"/>
      <c r="J103" s="436"/>
      <c r="K103" s="436"/>
      <c r="L103" s="435"/>
      <c r="M103" s="435"/>
      <c r="N103" s="435"/>
      <c r="O103" s="392">
        <v>0</v>
      </c>
      <c r="Q103" s="45"/>
      <c r="R103" s="47"/>
    </row>
    <row r="104" spans="4:18" ht="60" hidden="1" customHeight="1" x14ac:dyDescent="0.5">
      <c r="D104" s="430"/>
      <c r="E104" s="431"/>
      <c r="F104" s="431"/>
      <c r="G104" s="433"/>
      <c r="H104" s="435"/>
      <c r="I104" s="435"/>
      <c r="J104" s="436"/>
      <c r="K104" s="436"/>
      <c r="L104" s="435"/>
      <c r="M104" s="435"/>
      <c r="N104" s="435"/>
      <c r="O104" s="392">
        <v>0</v>
      </c>
      <c r="Q104" s="45"/>
      <c r="R104" s="47"/>
    </row>
    <row r="105" spans="4:18" ht="60" hidden="1" customHeight="1" x14ac:dyDescent="0.5">
      <c r="D105" s="430"/>
      <c r="E105" s="431"/>
      <c r="F105" s="431"/>
      <c r="G105" s="433"/>
      <c r="H105" s="435"/>
      <c r="I105" s="435"/>
      <c r="J105" s="436"/>
      <c r="K105" s="436"/>
      <c r="L105" s="435"/>
      <c r="M105" s="435"/>
      <c r="N105" s="435"/>
      <c r="O105" s="392">
        <v>0</v>
      </c>
      <c r="Q105" s="45"/>
      <c r="R105" s="47"/>
    </row>
    <row r="106" spans="4:18" ht="60" customHeight="1" x14ac:dyDescent="0.5">
      <c r="D106" s="430"/>
      <c r="E106" s="443" t="s">
        <v>325</v>
      </c>
      <c r="F106" s="431"/>
      <c r="G106" s="433"/>
      <c r="H106" s="435"/>
      <c r="I106" s="435"/>
      <c r="J106" s="436"/>
      <c r="K106" s="436"/>
      <c r="L106" s="435"/>
      <c r="M106" s="435"/>
      <c r="N106" s="435"/>
      <c r="O106" s="392">
        <v>0</v>
      </c>
      <c r="Q106" s="45"/>
      <c r="R106" s="47"/>
    </row>
    <row r="107" spans="4:18" ht="60" customHeight="1" x14ac:dyDescent="0.5">
      <c r="D107" s="430" t="s">
        <v>501</v>
      </c>
      <c r="E107" s="431" t="s">
        <v>326</v>
      </c>
      <c r="F107" s="431" t="s">
        <v>409</v>
      </c>
      <c r="G107" s="433">
        <v>15</v>
      </c>
      <c r="H107" s="434">
        <v>4024</v>
      </c>
      <c r="I107" s="435">
        <f t="shared" ref="I107:I112" si="57">ROUND(H107/15*G107,2)</f>
        <v>4024</v>
      </c>
      <c r="J107" s="436">
        <f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0</v>
      </c>
      <c r="K107" s="435">
        <f>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</f>
        <v>302.63</v>
      </c>
      <c r="L107" s="435">
        <v>0</v>
      </c>
      <c r="M107" s="435">
        <f t="shared" ref="M107:M108" si="58">I107+J107-K107</f>
        <v>3721.37</v>
      </c>
      <c r="N107" s="435"/>
      <c r="O107" s="392">
        <v>4024.0799999999995</v>
      </c>
      <c r="Q107" s="45"/>
      <c r="R107" s="47"/>
    </row>
    <row r="108" spans="4:18" ht="60" customHeight="1" x14ac:dyDescent="0.5">
      <c r="D108" s="430"/>
      <c r="E108" s="431" t="s">
        <v>549</v>
      </c>
      <c r="F108" s="431" t="s">
        <v>425</v>
      </c>
      <c r="G108" s="433">
        <v>15</v>
      </c>
      <c r="H108" s="434">
        <v>3890</v>
      </c>
      <c r="I108" s="435">
        <f t="shared" si="57"/>
        <v>3890</v>
      </c>
      <c r="J108" s="436">
        <f>IFERROR(IF(ROUND((((I108/G108*30.4)-VLOOKUP((I108/G108*30.4),TARIFA,1))*VLOOKUP((I108/G108*30.4),TARIFA,3)+VLOOKUP((I108/G108*30.4),TARIFA,2)-VLOOKUP((I108/G108*30.4),SUBSIDIO,2))/30.4*G108,2)&lt;0,ROUND(-(((I108/G108*30.4)-VLOOKUP((I108/G108*30.4),TARIFA,1))*VLOOKUP((I108/G108*30.4),TARIFA,3)+VLOOKUP((I108/G108*30.4),TARIFA,2)-VLOOKUP((I108/G108*30.4),SUBSIDIO,2))/30.4*G108,2),0),0)</f>
        <v>0</v>
      </c>
      <c r="K108" s="435">
        <f>IFERROR(IF(ROUND((((I108/G108*30.4)-VLOOKUP((I108/G108*30.4),TARIFA,1))*VLOOKUP((I108/G108*30.4),TARIFA,3)+VLOOKUP((I108/G108*30.4),TARIFA,2)-VLOOKUP((I108/G108*30.4),SUBSIDIO,2))/30.4*G108,2)&gt;0,ROUND((((I108/G108*30.4)-VLOOKUP((I108/G108*30.4),TARIFA,1))*VLOOKUP((I108/G108*30.4),TARIFA,3)+VLOOKUP((I108/G108*30.4),TARIFA,2)-VLOOKUP((I108/G108*30.4),SUBSIDIO,2))/30.4*G108,2),0),0)</f>
        <v>288.05</v>
      </c>
      <c r="L108" s="435"/>
      <c r="M108" s="435">
        <f t="shared" si="58"/>
        <v>3601.95</v>
      </c>
      <c r="N108" s="435"/>
      <c r="O108" s="392">
        <v>4244.5349999999999</v>
      </c>
      <c r="Q108" s="45"/>
      <c r="R108" s="47"/>
    </row>
    <row r="109" spans="4:18" ht="60" customHeight="1" x14ac:dyDescent="0.5">
      <c r="D109" s="430" t="s">
        <v>503</v>
      </c>
      <c r="E109" s="431" t="s">
        <v>432</v>
      </c>
      <c r="F109" s="431" t="s">
        <v>433</v>
      </c>
      <c r="G109" s="433">
        <v>15</v>
      </c>
      <c r="H109" s="440">
        <v>5696</v>
      </c>
      <c r="I109" s="435">
        <f t="shared" si="57"/>
        <v>5696</v>
      </c>
      <c r="J109" s="436">
        <f t="shared" ref="J109" si="59"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0</v>
      </c>
      <c r="K109" s="436">
        <f t="shared" ref="K109:K112" si="60">IFERROR(IF(ROUND((((I109/G109*30.4)-VLOOKUP((I109/G109*30.4),TARIFA,1))*VLOOKUP((I109/G109*30.4),TARIFA,3)+VLOOKUP((I109/G109*30.4),TARIFA,2)-VLOOKUP((I109/G109*30.4),SUBSIDIO,2))/30.4*G109,2)&gt;0,ROUND((((I109/G109*30.4)-VLOOKUP((I109/G109*30.4),TARIFA,1))*VLOOKUP((I109/G109*30.4),TARIFA,3)+VLOOKUP((I109/G109*30.4),TARIFA,2)-VLOOKUP((I109/G109*30.4),SUBSIDIO,2))/30.4*G109,2),0),0)</f>
        <v>536.76</v>
      </c>
      <c r="L109" s="435">
        <v>0</v>
      </c>
      <c r="M109" s="440">
        <f t="shared" ref="M109" si="61">I109+J109-K109-L109</f>
        <v>5159.24</v>
      </c>
      <c r="N109" s="435"/>
      <c r="O109" s="392">
        <v>5695.6049999999996</v>
      </c>
      <c r="Q109" s="45"/>
      <c r="R109" s="47"/>
    </row>
    <row r="110" spans="4:18" ht="60" customHeight="1" x14ac:dyDescent="0.5">
      <c r="D110" s="430"/>
      <c r="E110" s="443" t="s">
        <v>169</v>
      </c>
      <c r="F110" s="431"/>
      <c r="G110" s="433"/>
      <c r="H110" s="440"/>
      <c r="I110" s="435"/>
      <c r="J110" s="436"/>
      <c r="K110" s="436"/>
      <c r="L110" s="435"/>
      <c r="M110" s="435"/>
      <c r="N110" s="435"/>
      <c r="O110" s="392">
        <v>0</v>
      </c>
      <c r="Q110" s="45"/>
      <c r="R110" s="47"/>
    </row>
    <row r="111" spans="4:18" ht="60" customHeight="1" x14ac:dyDescent="0.5">
      <c r="D111" s="430" t="s">
        <v>248</v>
      </c>
      <c r="E111" s="431" t="s">
        <v>176</v>
      </c>
      <c r="F111" s="431" t="s">
        <v>33</v>
      </c>
      <c r="G111" s="433">
        <v>15</v>
      </c>
      <c r="H111" s="440">
        <v>3159</v>
      </c>
      <c r="I111" s="435">
        <f t="shared" si="57"/>
        <v>3159</v>
      </c>
      <c r="J111" s="436">
        <f t="shared" ref="J111" si="62"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436">
        <f t="shared" si="60"/>
        <v>83.41</v>
      </c>
      <c r="L111" s="435"/>
      <c r="M111" s="440">
        <f t="shared" ref="M111" si="63">I111+J111-K111-L111</f>
        <v>3075.59</v>
      </c>
      <c r="N111" s="435"/>
      <c r="O111" s="392">
        <v>3158.82</v>
      </c>
      <c r="Q111" s="45"/>
      <c r="R111" s="47"/>
    </row>
    <row r="112" spans="4:18" ht="60" customHeight="1" x14ac:dyDescent="0.5">
      <c r="D112" s="430" t="s">
        <v>249</v>
      </c>
      <c r="E112" s="431" t="s">
        <v>170</v>
      </c>
      <c r="F112" s="431" t="s">
        <v>33</v>
      </c>
      <c r="G112" s="433">
        <v>15</v>
      </c>
      <c r="H112" s="440">
        <v>3159</v>
      </c>
      <c r="I112" s="435">
        <f t="shared" si="57"/>
        <v>3159</v>
      </c>
      <c r="J112" s="436">
        <f t="shared" ref="J112" si="64">IFERROR(IF(ROUND((((I112/G112*30.4)-VLOOKUP((I112/G112*30.4),TARIFA,1))*VLOOKUP((I112/G112*30.4),TARIFA,3)+VLOOKUP((I112/G112*30.4),TARIFA,2)-VLOOKUP((I112/G112*30.4),SUBSIDIO,2))/30.4*G112,2)&lt;0,ROUND(-(((I112/G112*30.4)-VLOOKUP((I112/G112*30.4),TARIFA,1))*VLOOKUP((I112/G112*30.4),TARIFA,3)+VLOOKUP((I112/G112*30.4),TARIFA,2)-VLOOKUP((I112/G112*30.4),SUBSIDIO,2))/30.4*G112,2),0),0)</f>
        <v>0</v>
      </c>
      <c r="K112" s="436">
        <f t="shared" si="60"/>
        <v>83.41</v>
      </c>
      <c r="L112" s="435"/>
      <c r="M112" s="440">
        <f t="shared" ref="M112" si="65">I112+J112-K112-L112</f>
        <v>3075.59</v>
      </c>
      <c r="N112" s="435"/>
      <c r="O112" s="392">
        <v>3158.82</v>
      </c>
      <c r="Q112" s="45"/>
      <c r="R112" s="47"/>
    </row>
    <row r="113" spans="4:18" ht="60" hidden="1" customHeight="1" x14ac:dyDescent="0.5">
      <c r="D113" s="430"/>
      <c r="E113" s="431"/>
      <c r="F113" s="431"/>
      <c r="G113" s="433"/>
      <c r="H113" s="435"/>
      <c r="I113" s="435"/>
      <c r="J113" s="436"/>
      <c r="K113" s="436"/>
      <c r="L113" s="435"/>
      <c r="M113" s="435"/>
      <c r="N113" s="435"/>
      <c r="O113" s="392">
        <v>0</v>
      </c>
      <c r="Q113" s="45"/>
      <c r="R113" s="47"/>
    </row>
    <row r="114" spans="4:18" ht="60" customHeight="1" x14ac:dyDescent="0.5">
      <c r="D114" s="430" t="s">
        <v>502</v>
      </c>
      <c r="E114" s="431" t="s">
        <v>424</v>
      </c>
      <c r="F114" s="431" t="s">
        <v>546</v>
      </c>
      <c r="G114" s="433">
        <v>15</v>
      </c>
      <c r="H114" s="434">
        <v>4245</v>
      </c>
      <c r="I114" s="435">
        <f t="shared" ref="I114" si="66">ROUND(H114/15*G114,2)</f>
        <v>4245</v>
      </c>
      <c r="J114" s="436">
        <f>IFERROR(IF(ROUND((((I114/G114*30.4)-VLOOKUP((I114/G114*30.4),TARIFA,1))*VLOOKUP((I114/G114*30.4),TARIFA,3)+VLOOKUP((I114/G114*30.4),TARIFA,2)-VLOOKUP((I114/G114*30.4),SUBSIDIO,2))/30.4*G114,2)&lt;0,ROUND(-(((I114/G114*30.4)-VLOOKUP((I114/G114*30.4),TARIFA,1))*VLOOKUP((I114/G114*30.4),TARIFA,3)+VLOOKUP((I114/G114*30.4),TARIFA,2)-VLOOKUP((I114/G114*30.4),SUBSIDIO,2))/30.4*G114,2),0),0)</f>
        <v>0</v>
      </c>
      <c r="K114" s="435">
        <f>IFERROR(IF(ROUND((((I114/G114*30.4)-VLOOKUP((I114/G114*30.4),TARIFA,1))*VLOOKUP((I114/G114*30.4),TARIFA,3)+VLOOKUP((I114/G114*30.4),TARIFA,2)-VLOOKUP((I114/G114*30.4),SUBSIDIO,2))/30.4*G114,2)&gt;0,ROUND((((I114/G114*30.4)-VLOOKUP((I114/G114*30.4),TARIFA,1))*VLOOKUP((I114/G114*30.4),TARIFA,3)+VLOOKUP((I114/G114*30.4),TARIFA,2)-VLOOKUP((I114/G114*30.4),SUBSIDIO,2))/30.4*G114,2),0),0)</f>
        <v>326.67</v>
      </c>
      <c r="L114" s="435"/>
      <c r="M114" s="435">
        <f t="shared" ref="M114" si="67">I114+J114-K114</f>
        <v>3918.33</v>
      </c>
      <c r="N114" s="435"/>
      <c r="O114" s="392"/>
      <c r="Q114" s="45"/>
      <c r="R114" s="47"/>
    </row>
    <row r="115" spans="4:18" ht="60" customHeight="1" x14ac:dyDescent="0.5">
      <c r="D115" s="430"/>
      <c r="E115" s="443" t="s">
        <v>148</v>
      </c>
      <c r="F115" s="431"/>
      <c r="G115" s="433"/>
      <c r="H115" s="440"/>
      <c r="I115" s="435"/>
      <c r="J115" s="436"/>
      <c r="K115" s="436"/>
      <c r="L115" s="435"/>
      <c r="M115" s="435"/>
      <c r="N115" s="435"/>
      <c r="O115" s="392">
        <v>0</v>
      </c>
      <c r="Q115" s="45"/>
      <c r="R115" s="47"/>
    </row>
    <row r="116" spans="4:18" ht="60" customHeight="1" x14ac:dyDescent="0.5">
      <c r="D116" s="430" t="s">
        <v>504</v>
      </c>
      <c r="E116" s="431" t="s">
        <v>329</v>
      </c>
      <c r="F116" s="431" t="s">
        <v>330</v>
      </c>
      <c r="G116" s="433">
        <v>15</v>
      </c>
      <c r="H116" s="434">
        <v>4024</v>
      </c>
      <c r="I116" s="435">
        <f t="shared" ref="I116:I117" si="68">ROUND(H116/15*G116,2)</f>
        <v>4024</v>
      </c>
      <c r="J116" s="436">
        <f>IFERROR(IF(ROUND((((I116/G116*30.4)-VLOOKUP((I116/G116*30.4),TARIFA,1))*VLOOKUP((I116/G116*30.4),TARIFA,3)+VLOOKUP((I116/G116*30.4),TARIFA,2)-VLOOKUP((I116/G116*30.4),SUBSIDIO,2))/30.4*G116,2)&lt;0,ROUND(-(((I116/G116*30.4)-VLOOKUP((I116/G116*30.4),TARIFA,1))*VLOOKUP((I116/G116*30.4),TARIFA,3)+VLOOKUP((I116/G116*30.4),TARIFA,2)-VLOOKUP((I116/G116*30.4),SUBSIDIO,2))/30.4*G116,2),0),0)</f>
        <v>0</v>
      </c>
      <c r="K116" s="435">
        <f>IFERROR(IF(ROUND((((I116/G116*30.4)-VLOOKUP((I116/G116*30.4),TARIFA,1))*VLOOKUP((I116/G116*30.4),TARIFA,3)+VLOOKUP((I116/G116*30.4),TARIFA,2)-VLOOKUP((I116/G116*30.4),SUBSIDIO,2))/30.4*G116,2)&gt;0,ROUND((((I116/G116*30.4)-VLOOKUP((I116/G116*30.4),TARIFA,1))*VLOOKUP((I116/G116*30.4),TARIFA,3)+VLOOKUP((I116/G116*30.4),TARIFA,2)-VLOOKUP((I116/G116*30.4),SUBSIDIO,2))/30.4*G116,2),0),0)</f>
        <v>302.63</v>
      </c>
      <c r="L116" s="435">
        <v>0</v>
      </c>
      <c r="M116" s="435">
        <f t="shared" ref="M116" si="69">I116+J116-K116</f>
        <v>3721.37</v>
      </c>
      <c r="N116" s="435"/>
      <c r="O116" s="392">
        <v>4024.0799999999995</v>
      </c>
      <c r="Q116" s="45"/>
      <c r="R116" s="47"/>
    </row>
    <row r="117" spans="4:18" ht="60" customHeight="1" x14ac:dyDescent="0.5">
      <c r="D117" s="430" t="s">
        <v>505</v>
      </c>
      <c r="E117" s="431" t="s">
        <v>331</v>
      </c>
      <c r="F117" s="432" t="s">
        <v>282</v>
      </c>
      <c r="G117" s="433">
        <v>15</v>
      </c>
      <c r="H117" s="440">
        <v>3414</v>
      </c>
      <c r="I117" s="435">
        <f t="shared" si="68"/>
        <v>3414</v>
      </c>
      <c r="J117" s="436">
        <f>IFERROR(IF(ROUND((((I117/G117*30.4)-VLOOKUP((I117/G117*30.4),TARIFA,1))*VLOOKUP((I117/G117*30.4),TARIFA,3)+VLOOKUP((I117/G117*30.4),TARIFA,2)-VLOOKUP((I117/G117*30.4),SUBSIDIO,2))/30.4*G117,2)&lt;0,ROUND(-(((I117/G117*30.4)-VLOOKUP((I117/G117*30.4),TARIFA,1))*VLOOKUP((I117/G117*30.4),TARIFA,3)+VLOOKUP((I117/G117*30.4),TARIFA,2)-VLOOKUP((I117/G117*30.4),SUBSIDIO,2))/30.4*G117,2),0),0)</f>
        <v>0</v>
      </c>
      <c r="K117" s="436">
        <f>IFERROR(IF(ROUND((((I117/G117*30.4)-VLOOKUP((I117/G117*30.4),TARIFA,1))*VLOOKUP((I117/G117*30.4),TARIFA,3)+VLOOKUP((I117/G117*30.4),TARIFA,2)-VLOOKUP((I117/G117*30.4),SUBSIDIO,2))/30.4*G117,2)&gt;0,ROUND((((I117/G117*30.4)-VLOOKUP((I117/G117*30.4),TARIFA,1))*VLOOKUP((I117/G117*30.4),TARIFA,3)+VLOOKUP((I117/G117*30.4),TARIFA,2)-VLOOKUP((I117/G117*30.4),SUBSIDIO,2))/30.4*G117,2),0),0)</f>
        <v>111.16</v>
      </c>
      <c r="L117" s="435"/>
      <c r="M117" s="435">
        <f t="shared" ref="M117" si="70">I117+J117-K117-L117</f>
        <v>3302.84</v>
      </c>
      <c r="N117" s="435"/>
      <c r="O117" s="392">
        <v>3414.4649999999997</v>
      </c>
      <c r="Q117" s="45"/>
      <c r="R117" s="47"/>
    </row>
    <row r="118" spans="4:18" ht="60" customHeight="1" x14ac:dyDescent="0.5">
      <c r="D118" s="430"/>
      <c r="E118" s="443" t="s">
        <v>374</v>
      </c>
      <c r="F118" s="431"/>
      <c r="G118" s="433"/>
      <c r="H118" s="440"/>
      <c r="I118" s="435"/>
      <c r="J118" s="436"/>
      <c r="K118" s="436"/>
      <c r="L118" s="435"/>
      <c r="M118" s="435"/>
      <c r="N118" s="435"/>
      <c r="O118" s="392">
        <v>0</v>
      </c>
      <c r="Q118" s="45"/>
      <c r="R118" s="47"/>
    </row>
    <row r="119" spans="4:18" ht="60" customHeight="1" x14ac:dyDescent="0.5">
      <c r="D119" s="430" t="s">
        <v>506</v>
      </c>
      <c r="E119" s="431" t="s">
        <v>375</v>
      </c>
      <c r="F119" s="432" t="s">
        <v>376</v>
      </c>
      <c r="G119" s="433">
        <v>15</v>
      </c>
      <c r="H119" s="440">
        <v>3720</v>
      </c>
      <c r="I119" s="435">
        <f t="shared" ref="I119" si="71">ROUND(H119/15*G119,2)</f>
        <v>3720</v>
      </c>
      <c r="J119" s="436">
        <f>IFERROR(IF(ROUND((((I119/G119*30.4)-VLOOKUP((I119/G119*30.4),TARIFA,1))*VLOOKUP((I119/G119*30.4),TARIFA,3)+VLOOKUP((I119/G119*30.4),TARIFA,2)-VLOOKUP((I119/G119*30.4),SUBSIDIO,2))/30.4*G119,2)&lt;0,ROUND(-(((I119/G119*30.4)-VLOOKUP((I119/G119*30.4),TARIFA,1))*VLOOKUP((I119/G119*30.4),TARIFA,3)+VLOOKUP((I119/G119*30.4),TARIFA,2)-VLOOKUP((I119/G119*30.4),SUBSIDIO,2))/30.4*G119,2),0),0)</f>
        <v>0</v>
      </c>
      <c r="K119" s="436">
        <f>IFERROR(IF(ROUND((((I119/G119*30.4)-VLOOKUP((I119/G119*30.4),TARIFA,1))*VLOOKUP((I119/G119*30.4),TARIFA,3)+VLOOKUP((I119/G119*30.4),TARIFA,2)-VLOOKUP((I119/G119*30.4),SUBSIDIO,2))/30.4*G119,2)&gt;0,ROUND((((I119/G119*30.4)-VLOOKUP((I119/G119*30.4),TARIFA,1))*VLOOKUP((I119/G119*30.4),TARIFA,3)+VLOOKUP((I119/G119*30.4),TARIFA,2)-VLOOKUP((I119/G119*30.4),SUBSIDIO,2))/30.4*G119,2),0),0)</f>
        <v>269.55</v>
      </c>
      <c r="L119" s="435">
        <v>0</v>
      </c>
      <c r="M119" s="435">
        <f>I119+J119-K119-L119</f>
        <v>3450.45</v>
      </c>
      <c r="N119" s="435"/>
      <c r="O119" s="392">
        <v>3667.0049999999997</v>
      </c>
      <c r="Q119" s="45"/>
      <c r="R119" s="47"/>
    </row>
    <row r="120" spans="4:18" ht="0.75" customHeight="1" x14ac:dyDescent="0.4">
      <c r="D120" s="224"/>
      <c r="E120" s="122"/>
      <c r="F120" s="91"/>
      <c r="G120" s="87"/>
      <c r="H120" s="97"/>
      <c r="I120" s="89"/>
      <c r="J120" s="216"/>
      <c r="K120" s="216"/>
      <c r="L120" s="89"/>
      <c r="M120" s="89"/>
      <c r="N120" s="17"/>
      <c r="O120" s="392">
        <v>0</v>
      </c>
      <c r="Q120" s="45"/>
      <c r="R120" s="47"/>
    </row>
    <row r="121" spans="4:18" ht="39.75" hidden="1" customHeight="1" x14ac:dyDescent="0.35">
      <c r="D121" s="224"/>
      <c r="E121" s="116"/>
      <c r="F121" s="117"/>
      <c r="G121" s="118"/>
      <c r="H121" s="113"/>
      <c r="I121" s="113"/>
      <c r="J121" s="112"/>
      <c r="K121" s="112"/>
      <c r="L121" s="113"/>
      <c r="M121" s="113"/>
      <c r="N121" s="17"/>
      <c r="O121" s="392">
        <v>0</v>
      </c>
      <c r="Q121" s="45"/>
      <c r="R121" s="47"/>
    </row>
    <row r="122" spans="4:18" ht="38.1" customHeight="1" x14ac:dyDescent="0.25">
      <c r="D122" s="225"/>
      <c r="E122" s="106"/>
      <c r="F122" s="107"/>
      <c r="G122" s="108"/>
      <c r="H122" s="109">
        <f>SUM(H94:H119)</f>
        <v>46538</v>
      </c>
      <c r="I122" s="109">
        <f>SUM(I94:I119)</f>
        <v>46538</v>
      </c>
      <c r="J122" s="109">
        <f>SUM(J93:J119)</f>
        <v>0</v>
      </c>
      <c r="K122" s="109">
        <f>SUM(K93:K119)</f>
        <v>2992.94</v>
      </c>
      <c r="L122" s="109">
        <f>SUM(L93:L119)</f>
        <v>0</v>
      </c>
      <c r="M122" s="109">
        <f>SUM(M93:M119)</f>
        <v>43545.06</v>
      </c>
      <c r="N122" s="68"/>
      <c r="O122" s="392">
        <v>42174.18</v>
      </c>
      <c r="Q122" s="45"/>
      <c r="R122" s="47"/>
    </row>
    <row r="123" spans="4:18" ht="38.1" customHeight="1" x14ac:dyDescent="0.25">
      <c r="D123" s="225"/>
      <c r="E123" s="106"/>
      <c r="F123" s="107"/>
      <c r="G123" s="108"/>
      <c r="H123" s="109"/>
      <c r="I123" s="109"/>
      <c r="J123" s="227"/>
      <c r="K123" s="227"/>
      <c r="L123" s="109"/>
      <c r="M123" s="109"/>
      <c r="N123" s="68"/>
      <c r="O123" s="392"/>
      <c r="Q123" s="45"/>
      <c r="R123" s="47"/>
    </row>
    <row r="124" spans="4:18" ht="38.1" customHeight="1" x14ac:dyDescent="0.25">
      <c r="D124" s="225"/>
      <c r="E124" s="106"/>
      <c r="F124" s="107"/>
      <c r="G124" s="108"/>
      <c r="H124" s="109"/>
      <c r="I124" s="109"/>
      <c r="J124" s="227"/>
      <c r="K124" s="227"/>
      <c r="L124" s="109"/>
      <c r="M124" s="109"/>
      <c r="N124" s="68"/>
      <c r="O124" s="392"/>
      <c r="Q124" s="45"/>
      <c r="R124" s="47"/>
    </row>
    <row r="125" spans="4:18" ht="38.1" customHeight="1" x14ac:dyDescent="0.25">
      <c r="D125" s="225"/>
      <c r="E125" s="106"/>
      <c r="F125" s="107"/>
      <c r="G125" s="108"/>
      <c r="H125" s="109"/>
      <c r="I125" s="109"/>
      <c r="J125" s="227"/>
      <c r="K125" s="227"/>
      <c r="L125" s="109"/>
      <c r="M125" s="109"/>
      <c r="N125" s="68"/>
      <c r="O125" s="392"/>
      <c r="Q125" s="45"/>
      <c r="R125" s="47"/>
    </row>
    <row r="126" spans="4:18" ht="23.25" customHeight="1" x14ac:dyDescent="0.25">
      <c r="D126" s="225"/>
      <c r="E126" s="106"/>
      <c r="F126" s="107"/>
      <c r="G126" s="108"/>
      <c r="H126" s="109"/>
      <c r="I126" s="109"/>
      <c r="J126" s="227"/>
      <c r="K126" s="227"/>
      <c r="L126" s="109"/>
      <c r="M126" s="109"/>
      <c r="N126" s="68"/>
      <c r="O126" s="392"/>
      <c r="Q126" s="45"/>
      <c r="R126" s="47"/>
    </row>
    <row r="127" spans="4:18" ht="35.25" customHeight="1" x14ac:dyDescent="0.45">
      <c r="D127" s="555" t="s">
        <v>12</v>
      </c>
      <c r="E127" s="555"/>
      <c r="F127" s="555"/>
      <c r="G127" s="555"/>
      <c r="H127" s="555"/>
      <c r="I127" s="555"/>
      <c r="J127" s="555"/>
      <c r="K127" s="555"/>
      <c r="L127" s="555"/>
      <c r="M127" s="555"/>
      <c r="N127" s="555"/>
      <c r="O127" s="392"/>
      <c r="Q127" s="45"/>
      <c r="R127" s="47"/>
    </row>
    <row r="128" spans="4:18" ht="24.75" customHeight="1" x14ac:dyDescent="0.45">
      <c r="D128" s="555" t="s">
        <v>138</v>
      </c>
      <c r="E128" s="555"/>
      <c r="F128" s="555"/>
      <c r="G128" s="555"/>
      <c r="H128" s="555"/>
      <c r="I128" s="555"/>
      <c r="J128" s="555"/>
      <c r="K128" s="555"/>
      <c r="L128" s="555"/>
      <c r="M128" s="555"/>
      <c r="N128" s="555"/>
      <c r="O128" s="392"/>
      <c r="Q128" s="45"/>
      <c r="R128" s="47"/>
    </row>
    <row r="129" spans="2:18" ht="39" customHeight="1" x14ac:dyDescent="0.45">
      <c r="D129" s="561" t="str">
        <f>D5</f>
        <v>NOMINA 1A QUINCENA DE ENERO DE 2022</v>
      </c>
      <c r="E129" s="561"/>
      <c r="F129" s="561"/>
      <c r="G129" s="561"/>
      <c r="H129" s="561"/>
      <c r="I129" s="561"/>
      <c r="J129" s="561"/>
      <c r="K129" s="561"/>
      <c r="L129" s="561"/>
      <c r="M129" s="561"/>
      <c r="N129" s="561"/>
      <c r="O129" s="392"/>
      <c r="Q129" s="45"/>
      <c r="R129" s="47"/>
    </row>
    <row r="130" spans="2:18" ht="30.75" customHeight="1" x14ac:dyDescent="0.45">
      <c r="D130" s="561" t="s">
        <v>125</v>
      </c>
      <c r="E130" s="561"/>
      <c r="F130" s="561"/>
      <c r="G130" s="561"/>
      <c r="H130" s="561"/>
      <c r="I130" s="561"/>
      <c r="J130" s="561"/>
      <c r="K130" s="561"/>
      <c r="L130" s="561"/>
      <c r="M130" s="561"/>
      <c r="N130" s="561"/>
      <c r="O130" s="392"/>
      <c r="Q130" s="45"/>
      <c r="R130" s="47"/>
    </row>
    <row r="131" spans="2:18" ht="33" customHeight="1" x14ac:dyDescent="0.5">
      <c r="D131" s="563" t="s">
        <v>232</v>
      </c>
      <c r="E131" s="412"/>
      <c r="F131" s="412"/>
      <c r="G131" s="413" t="s">
        <v>4</v>
      </c>
      <c r="H131" s="556" t="s">
        <v>0</v>
      </c>
      <c r="I131" s="557"/>
      <c r="J131" s="558"/>
      <c r="K131" s="414"/>
      <c r="L131" s="415"/>
      <c r="M131" s="413"/>
      <c r="N131" s="416"/>
      <c r="O131" s="392"/>
      <c r="Q131" s="45"/>
      <c r="R131" s="47"/>
    </row>
    <row r="132" spans="2:18" ht="33" customHeight="1" x14ac:dyDescent="0.5">
      <c r="D132" s="564"/>
      <c r="E132" s="413"/>
      <c r="F132" s="446"/>
      <c r="G132" s="417" t="s">
        <v>5</v>
      </c>
      <c r="H132" s="418" t="s">
        <v>1</v>
      </c>
      <c r="I132" s="418" t="s">
        <v>124</v>
      </c>
      <c r="J132" s="419" t="s">
        <v>128</v>
      </c>
      <c r="K132" s="419"/>
      <c r="L132" s="413" t="s">
        <v>142</v>
      </c>
      <c r="M132" s="413" t="s">
        <v>127</v>
      </c>
      <c r="N132" s="420"/>
      <c r="O132" s="392"/>
      <c r="Q132" s="45"/>
      <c r="R132" s="47"/>
    </row>
    <row r="133" spans="2:18" ht="33" customHeight="1" x14ac:dyDescent="0.5">
      <c r="D133" s="564"/>
      <c r="E133" s="418"/>
      <c r="F133" s="418" t="s">
        <v>10</v>
      </c>
      <c r="G133" s="413"/>
      <c r="H133" s="413" t="s">
        <v>7</v>
      </c>
      <c r="I133" s="413" t="s">
        <v>127</v>
      </c>
      <c r="J133" s="417" t="s">
        <v>129</v>
      </c>
      <c r="K133" s="417" t="s">
        <v>130</v>
      </c>
      <c r="L133" s="413" t="s">
        <v>144</v>
      </c>
      <c r="M133" s="413" t="s">
        <v>133</v>
      </c>
      <c r="N133" s="418" t="s">
        <v>136</v>
      </c>
      <c r="O133" s="392"/>
      <c r="Q133" s="45"/>
      <c r="R133" s="47"/>
    </row>
    <row r="134" spans="2:18" ht="33" customHeight="1" x14ac:dyDescent="0.5">
      <c r="D134" s="565"/>
      <c r="E134" s="418" t="s">
        <v>69</v>
      </c>
      <c r="F134" s="418" t="s">
        <v>9</v>
      </c>
      <c r="G134" s="418"/>
      <c r="H134" s="418"/>
      <c r="I134" s="418"/>
      <c r="J134" s="419"/>
      <c r="K134" s="421"/>
      <c r="L134" s="422"/>
      <c r="M134" s="418"/>
      <c r="N134" s="418"/>
      <c r="O134" s="392"/>
      <c r="Q134" s="45"/>
      <c r="R134" s="47"/>
    </row>
    <row r="135" spans="2:18" ht="60" customHeight="1" x14ac:dyDescent="0.5">
      <c r="B135" s="65"/>
      <c r="D135" s="430"/>
      <c r="E135" s="448" t="s">
        <v>55</v>
      </c>
      <c r="F135" s="449"/>
      <c r="G135" s="450"/>
      <c r="H135" s="440"/>
      <c r="I135" s="451"/>
      <c r="J135" s="452"/>
      <c r="K135" s="452"/>
      <c r="L135" s="451"/>
      <c r="M135" s="435"/>
      <c r="N135" s="435"/>
      <c r="O135" s="392"/>
      <c r="Q135" s="45"/>
      <c r="R135" s="47"/>
    </row>
    <row r="136" spans="2:18" ht="60" customHeight="1" x14ac:dyDescent="0.5">
      <c r="D136" s="453" t="s">
        <v>507</v>
      </c>
      <c r="E136" s="454" t="s">
        <v>380</v>
      </c>
      <c r="F136" s="455" t="s">
        <v>74</v>
      </c>
      <c r="G136" s="456">
        <v>15</v>
      </c>
      <c r="H136" s="457">
        <v>2929</v>
      </c>
      <c r="I136" s="435">
        <f t="shared" ref="I136" si="72">ROUND(H136/15*G136,2)</f>
        <v>2929</v>
      </c>
      <c r="J136" s="436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0</v>
      </c>
      <c r="K136" s="436">
        <f>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</f>
        <v>38.11</v>
      </c>
      <c r="L136" s="435">
        <v>0</v>
      </c>
      <c r="M136" s="435">
        <f>I136+J136-K136-L136</f>
        <v>2890.89</v>
      </c>
      <c r="N136" s="435"/>
      <c r="O136" s="392">
        <v>2929.0499999999997</v>
      </c>
      <c r="Q136" s="45"/>
      <c r="R136" s="47"/>
    </row>
    <row r="137" spans="2:18" ht="60" customHeight="1" x14ac:dyDescent="0.5">
      <c r="D137" s="444"/>
      <c r="E137" s="443" t="s">
        <v>42</v>
      </c>
      <c r="F137" s="431"/>
      <c r="G137" s="433"/>
      <c r="H137" s="440"/>
      <c r="I137" s="435"/>
      <c r="J137" s="436"/>
      <c r="K137" s="436"/>
      <c r="L137" s="435"/>
      <c r="M137" s="435"/>
      <c r="N137" s="435"/>
      <c r="O137" s="392">
        <v>0</v>
      </c>
      <c r="Q137" s="45"/>
      <c r="R137" s="47"/>
    </row>
    <row r="138" spans="2:18" ht="60" customHeight="1" x14ac:dyDescent="0.5">
      <c r="D138" s="444" t="s">
        <v>508</v>
      </c>
      <c r="E138" s="431" t="s">
        <v>410</v>
      </c>
      <c r="F138" s="431" t="s">
        <v>394</v>
      </c>
      <c r="G138" s="433">
        <v>15</v>
      </c>
      <c r="H138" s="440">
        <v>1090</v>
      </c>
      <c r="I138" s="435">
        <f t="shared" ref="I138:I141" si="73">ROUND(H138/15*G138,2)</f>
        <v>1090</v>
      </c>
      <c r="J138" s="436">
        <f t="shared" ref="J138:J140" si="74"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145.22999999999999</v>
      </c>
      <c r="K138" s="436">
        <f t="shared" ref="K138:K140" si="75">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</f>
        <v>0</v>
      </c>
      <c r="L138" s="435">
        <v>0</v>
      </c>
      <c r="M138" s="435">
        <f t="shared" ref="M138:M140" si="76">I138+J138-K138-L138</f>
        <v>1235.23</v>
      </c>
      <c r="N138" s="435"/>
      <c r="O138" s="392">
        <v>1089.855</v>
      </c>
      <c r="Q138" s="45"/>
      <c r="R138" s="47"/>
    </row>
    <row r="139" spans="2:18" ht="60" customHeight="1" x14ac:dyDescent="0.5">
      <c r="D139" s="444" t="s">
        <v>509</v>
      </c>
      <c r="E139" s="431" t="s">
        <v>413</v>
      </c>
      <c r="F139" s="431" t="s">
        <v>395</v>
      </c>
      <c r="G139" s="433">
        <v>15</v>
      </c>
      <c r="H139" s="440">
        <v>1090</v>
      </c>
      <c r="I139" s="435">
        <f t="shared" si="73"/>
        <v>1090</v>
      </c>
      <c r="J139" s="436">
        <f t="shared" si="74"/>
        <v>145.22999999999999</v>
      </c>
      <c r="K139" s="436">
        <f t="shared" si="75"/>
        <v>0</v>
      </c>
      <c r="L139" s="435">
        <v>0</v>
      </c>
      <c r="M139" s="435">
        <f t="shared" si="76"/>
        <v>1235.23</v>
      </c>
      <c r="N139" s="435"/>
      <c r="O139" s="392">
        <v>1089.855</v>
      </c>
      <c r="Q139" s="45"/>
      <c r="R139" s="47"/>
    </row>
    <row r="140" spans="2:18" ht="60" customHeight="1" x14ac:dyDescent="0.5">
      <c r="D140" s="444" t="s">
        <v>417</v>
      </c>
      <c r="E140" s="431" t="s">
        <v>422</v>
      </c>
      <c r="F140" s="431" t="s">
        <v>396</v>
      </c>
      <c r="G140" s="433">
        <v>15</v>
      </c>
      <c r="H140" s="440">
        <v>1090</v>
      </c>
      <c r="I140" s="435">
        <f t="shared" si="73"/>
        <v>1090</v>
      </c>
      <c r="J140" s="436">
        <f t="shared" si="74"/>
        <v>145.22999999999999</v>
      </c>
      <c r="K140" s="436">
        <f t="shared" si="75"/>
        <v>0</v>
      </c>
      <c r="L140" s="435">
        <v>0</v>
      </c>
      <c r="M140" s="435">
        <f t="shared" si="76"/>
        <v>1235.23</v>
      </c>
      <c r="N140" s="435"/>
      <c r="O140" s="392">
        <v>1089.855</v>
      </c>
      <c r="Q140" s="45"/>
      <c r="R140" s="47"/>
    </row>
    <row r="141" spans="2:18" ht="60" customHeight="1" x14ac:dyDescent="0.5">
      <c r="D141" s="444" t="s">
        <v>251</v>
      </c>
      <c r="E141" s="431" t="s">
        <v>89</v>
      </c>
      <c r="F141" s="431" t="s">
        <v>397</v>
      </c>
      <c r="G141" s="433">
        <v>15</v>
      </c>
      <c r="H141" s="440">
        <v>1090</v>
      </c>
      <c r="I141" s="435">
        <f t="shared" si="73"/>
        <v>1090</v>
      </c>
      <c r="J141" s="436">
        <f t="shared" ref="J141:J145" si="77"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145.22999999999999</v>
      </c>
      <c r="K141" s="436">
        <f t="shared" ref="K141:K145" si="78">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</f>
        <v>0</v>
      </c>
      <c r="L141" s="435">
        <v>0</v>
      </c>
      <c r="M141" s="435">
        <f t="shared" ref="M141:M156" si="79">I141+J141-K141-L141</f>
        <v>1235.23</v>
      </c>
      <c r="N141" s="435"/>
      <c r="O141" s="392">
        <v>1089.855</v>
      </c>
      <c r="Q141" s="45"/>
      <c r="R141" s="47"/>
    </row>
    <row r="142" spans="2:18" ht="60" hidden="1" customHeight="1" x14ac:dyDescent="0.5">
      <c r="D142" s="444"/>
      <c r="E142" s="431"/>
      <c r="F142" s="431"/>
      <c r="G142" s="433">
        <v>15</v>
      </c>
      <c r="H142" s="440">
        <v>1090</v>
      </c>
      <c r="I142" s="435">
        <f t="shared" ref="I142" si="80">H142</f>
        <v>1090</v>
      </c>
      <c r="J142" s="436">
        <f t="shared" ref="J142:J143" si="81"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145.22999999999999</v>
      </c>
      <c r="K142" s="436">
        <f t="shared" ref="K142:K143" si="82">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</f>
        <v>0</v>
      </c>
      <c r="L142" s="435">
        <v>0</v>
      </c>
      <c r="M142" s="435">
        <f t="shared" ref="M142:M143" si="83">I142+J142-K142-L142</f>
        <v>1235.23</v>
      </c>
      <c r="N142" s="435"/>
      <c r="O142" s="392">
        <v>0</v>
      </c>
      <c r="Q142" s="45"/>
      <c r="R142" s="47"/>
    </row>
    <row r="143" spans="2:18" ht="60" customHeight="1" x14ac:dyDescent="0.5">
      <c r="D143" s="444" t="s">
        <v>510</v>
      </c>
      <c r="E143" s="431" t="s">
        <v>414</v>
      </c>
      <c r="F143" s="431" t="s">
        <v>398</v>
      </c>
      <c r="G143" s="433">
        <v>15</v>
      </c>
      <c r="H143" s="440">
        <v>1090</v>
      </c>
      <c r="I143" s="435">
        <f t="shared" ref="I143:I150" si="84">ROUND(H143/15*G143,2)</f>
        <v>1090</v>
      </c>
      <c r="J143" s="436">
        <f t="shared" si="81"/>
        <v>145.22999999999999</v>
      </c>
      <c r="K143" s="436">
        <f t="shared" si="82"/>
        <v>0</v>
      </c>
      <c r="L143" s="435">
        <v>0</v>
      </c>
      <c r="M143" s="435">
        <f t="shared" si="83"/>
        <v>1235.23</v>
      </c>
      <c r="N143" s="435"/>
      <c r="O143" s="392">
        <v>1089.855</v>
      </c>
      <c r="Q143" s="45"/>
      <c r="R143" s="47"/>
    </row>
    <row r="144" spans="2:18" ht="60" customHeight="1" x14ac:dyDescent="0.5">
      <c r="D144" s="444" t="s">
        <v>511</v>
      </c>
      <c r="E144" s="431" t="s">
        <v>279</v>
      </c>
      <c r="F144" s="431" t="s">
        <v>280</v>
      </c>
      <c r="G144" s="433">
        <v>15</v>
      </c>
      <c r="H144" s="440">
        <v>3159</v>
      </c>
      <c r="I144" s="435">
        <f t="shared" si="84"/>
        <v>3159</v>
      </c>
      <c r="J144" s="436">
        <f t="shared" si="77"/>
        <v>0</v>
      </c>
      <c r="K144" s="436">
        <f t="shared" si="78"/>
        <v>83.41</v>
      </c>
      <c r="L144" s="435"/>
      <c r="M144" s="440">
        <f t="shared" si="79"/>
        <v>3075.59</v>
      </c>
      <c r="N144" s="435"/>
      <c r="O144" s="392">
        <v>3158.8199999999997</v>
      </c>
      <c r="Q144" s="45"/>
      <c r="R144" s="47"/>
    </row>
    <row r="145" spans="4:18" ht="60" customHeight="1" x14ac:dyDescent="0.5">
      <c r="D145" s="444" t="s">
        <v>512</v>
      </c>
      <c r="E145" s="431" t="s">
        <v>399</v>
      </c>
      <c r="F145" s="432" t="s">
        <v>400</v>
      </c>
      <c r="G145" s="433">
        <v>15</v>
      </c>
      <c r="H145" s="440">
        <v>2484</v>
      </c>
      <c r="I145" s="435">
        <f t="shared" si="84"/>
        <v>2484</v>
      </c>
      <c r="J145" s="436">
        <f t="shared" si="77"/>
        <v>15.57</v>
      </c>
      <c r="K145" s="436">
        <f t="shared" si="78"/>
        <v>0</v>
      </c>
      <c r="L145" s="435">
        <v>0</v>
      </c>
      <c r="M145" s="435">
        <f t="shared" si="79"/>
        <v>2499.5700000000002</v>
      </c>
      <c r="N145" s="435"/>
      <c r="O145" s="392">
        <v>2484</v>
      </c>
      <c r="Q145" s="45"/>
      <c r="R145" s="47"/>
    </row>
    <row r="146" spans="4:18" ht="60" customHeight="1" x14ac:dyDescent="0.5">
      <c r="D146" s="444" t="s">
        <v>513</v>
      </c>
      <c r="E146" s="431" t="s">
        <v>437</v>
      </c>
      <c r="F146" s="432" t="s">
        <v>112</v>
      </c>
      <c r="G146" s="433">
        <v>15</v>
      </c>
      <c r="H146" s="440">
        <v>1754</v>
      </c>
      <c r="I146" s="435">
        <f t="shared" si="84"/>
        <v>1754</v>
      </c>
      <c r="J146" s="436">
        <f t="shared" ref="J146:J150" si="85">IFERROR(IF(ROUND((((I146/G146*30.4)-VLOOKUP((I146/G146*30.4),TARIFA,1))*VLOOKUP((I146/G146*30.4),TARIFA,3)+VLOOKUP((I146/G146*30.4),TARIFA,2)-VLOOKUP((I146/G146*30.4),SUBSIDIO,2))/30.4*G146,2)&lt;0,ROUND(-(((I146/G146*30.4)-VLOOKUP((I146/G146*30.4),TARIFA,1))*VLOOKUP((I146/G146*30.4),TARIFA,3)+VLOOKUP((I146/G146*30.4),TARIFA,2)-VLOOKUP((I146/G146*30.4),SUBSIDIO,2))/30.4*G146,2),0),0)</f>
        <v>90.7</v>
      </c>
      <c r="K146" s="436">
        <f t="shared" ref="K146:K150" si="86">IFERROR(IF(ROUND((((I146/G146*30.4)-VLOOKUP((I146/G146*30.4),TARIFA,1))*VLOOKUP((I146/G146*30.4),TARIFA,3)+VLOOKUP((I146/G146*30.4),TARIFA,2)-VLOOKUP((I146/G146*30.4),SUBSIDIO,2))/30.4*G146,2)&gt;0,ROUND((((I146/G146*30.4)-VLOOKUP((I146/G146*30.4),TARIFA,1))*VLOOKUP((I146/G146*30.4),TARIFA,3)+VLOOKUP((I146/G146*30.4),TARIFA,2)-VLOOKUP((I146/G146*30.4),SUBSIDIO,2))/30.4*G146,2),0),0)</f>
        <v>0</v>
      </c>
      <c r="L146" s="435">
        <v>0</v>
      </c>
      <c r="M146" s="435">
        <f t="shared" ref="M146:M150" si="87">I146+J146-K146-L146</f>
        <v>1844.7</v>
      </c>
      <c r="N146" s="435"/>
      <c r="O146" s="392">
        <v>1754.3249999999998</v>
      </c>
      <c r="Q146" s="45"/>
      <c r="R146" s="47"/>
    </row>
    <row r="147" spans="4:18" ht="60" customHeight="1" x14ac:dyDescent="0.5">
      <c r="D147" s="444" t="s">
        <v>514</v>
      </c>
      <c r="E147" s="431" t="s">
        <v>418</v>
      </c>
      <c r="F147" s="431" t="s">
        <v>401</v>
      </c>
      <c r="G147" s="433">
        <v>15</v>
      </c>
      <c r="H147" s="440">
        <v>1090</v>
      </c>
      <c r="I147" s="435">
        <f t="shared" si="84"/>
        <v>1090</v>
      </c>
      <c r="J147" s="436">
        <f t="shared" si="85"/>
        <v>145.22999999999999</v>
      </c>
      <c r="K147" s="436">
        <f t="shared" si="86"/>
        <v>0</v>
      </c>
      <c r="L147" s="435">
        <v>0</v>
      </c>
      <c r="M147" s="435">
        <f t="shared" si="87"/>
        <v>1235.23</v>
      </c>
      <c r="N147" s="435"/>
      <c r="O147" s="392">
        <v>1089.855</v>
      </c>
      <c r="Q147" s="45"/>
      <c r="R147" s="47"/>
    </row>
    <row r="148" spans="4:18" ht="60" customHeight="1" x14ac:dyDescent="0.5">
      <c r="D148" s="444" t="s">
        <v>515</v>
      </c>
      <c r="E148" s="431" t="s">
        <v>415</v>
      </c>
      <c r="F148" s="431" t="s">
        <v>33</v>
      </c>
      <c r="G148" s="433">
        <v>15</v>
      </c>
      <c r="H148" s="440">
        <v>1687</v>
      </c>
      <c r="I148" s="435">
        <f t="shared" si="84"/>
        <v>1687</v>
      </c>
      <c r="J148" s="436">
        <f t="shared" si="85"/>
        <v>106.91</v>
      </c>
      <c r="K148" s="436">
        <f t="shared" si="86"/>
        <v>0</v>
      </c>
      <c r="L148" s="435"/>
      <c r="M148" s="435">
        <f t="shared" si="87"/>
        <v>1793.91</v>
      </c>
      <c r="N148" s="435"/>
      <c r="O148" s="392">
        <v>1687.05</v>
      </c>
      <c r="Q148" s="45"/>
      <c r="R148" s="47"/>
    </row>
    <row r="149" spans="4:18" ht="60" customHeight="1" x14ac:dyDescent="0.5">
      <c r="D149" s="444" t="s">
        <v>516</v>
      </c>
      <c r="E149" s="431" t="s">
        <v>419</v>
      </c>
      <c r="F149" s="431" t="s">
        <v>33</v>
      </c>
      <c r="G149" s="433">
        <v>15</v>
      </c>
      <c r="H149" s="440">
        <v>1687</v>
      </c>
      <c r="I149" s="435">
        <f t="shared" si="84"/>
        <v>1687</v>
      </c>
      <c r="J149" s="436">
        <f t="shared" si="85"/>
        <v>106.91</v>
      </c>
      <c r="K149" s="436">
        <f t="shared" si="86"/>
        <v>0</v>
      </c>
      <c r="L149" s="435"/>
      <c r="M149" s="435">
        <f t="shared" si="87"/>
        <v>1793.91</v>
      </c>
      <c r="N149" s="435"/>
      <c r="O149" s="392">
        <v>1687.05</v>
      </c>
      <c r="Q149" s="45"/>
      <c r="R149" s="47"/>
    </row>
    <row r="150" spans="4:18" ht="60" customHeight="1" x14ac:dyDescent="0.5">
      <c r="D150" s="444" t="s">
        <v>517</v>
      </c>
      <c r="E150" s="431" t="s">
        <v>411</v>
      </c>
      <c r="F150" s="431" t="s">
        <v>412</v>
      </c>
      <c r="G150" s="433">
        <v>15</v>
      </c>
      <c r="H150" s="440">
        <v>3159</v>
      </c>
      <c r="I150" s="435">
        <f t="shared" si="84"/>
        <v>3159</v>
      </c>
      <c r="J150" s="436">
        <f t="shared" si="85"/>
        <v>0</v>
      </c>
      <c r="K150" s="436">
        <f t="shared" si="86"/>
        <v>83.41</v>
      </c>
      <c r="L150" s="435"/>
      <c r="M150" s="435">
        <f t="shared" si="87"/>
        <v>3075.59</v>
      </c>
      <c r="N150" s="435"/>
      <c r="O150" s="392">
        <v>3158.8199999999997</v>
      </c>
      <c r="Q150" s="45"/>
      <c r="R150" s="47"/>
    </row>
    <row r="151" spans="4:18" ht="60" customHeight="1" x14ac:dyDescent="0.5">
      <c r="D151" s="458"/>
      <c r="E151" s="443" t="s">
        <v>269</v>
      </c>
      <c r="F151" s="431"/>
      <c r="G151" s="433"/>
      <c r="H151" s="440"/>
      <c r="I151" s="435"/>
      <c r="J151" s="436"/>
      <c r="K151" s="436"/>
      <c r="L151" s="435"/>
      <c r="M151" s="435"/>
      <c r="N151" s="435"/>
      <c r="O151" s="392">
        <v>0</v>
      </c>
      <c r="Q151" s="45"/>
      <c r="R151" s="47"/>
    </row>
    <row r="152" spans="4:18" ht="60" customHeight="1" x14ac:dyDescent="0.5">
      <c r="D152" s="444" t="s">
        <v>518</v>
      </c>
      <c r="E152" s="431" t="s">
        <v>390</v>
      </c>
      <c r="F152" s="431" t="s">
        <v>339</v>
      </c>
      <c r="G152" s="433">
        <v>15</v>
      </c>
      <c r="H152" s="434">
        <v>4024</v>
      </c>
      <c r="I152" s="435">
        <f t="shared" ref="I152:I153" si="88">ROUND(H152/15*G152,2)</f>
        <v>4024</v>
      </c>
      <c r="J152" s="436">
        <f>IFERROR(IF(ROUND((((I152/G152*30.4)-VLOOKUP((I152/G152*30.4),TARIFA,1))*VLOOKUP((I152/G152*30.4),TARIFA,3)+VLOOKUP((I152/G152*30.4),TARIFA,2)-VLOOKUP((I152/G152*30.4),SUBSIDIO,2))/30.4*G152,2)&lt;0,ROUND(-(((I152/G152*30.4)-VLOOKUP((I152/G152*30.4),TARIFA,1))*VLOOKUP((I152/G152*30.4),TARIFA,3)+VLOOKUP((I152/G152*30.4),TARIFA,2)-VLOOKUP((I152/G152*30.4),SUBSIDIO,2))/30.4*G152,2),0),0)</f>
        <v>0</v>
      </c>
      <c r="K152" s="435">
        <f>IFERROR(IF(ROUND((((I152/G152*30.4)-VLOOKUP((I152/G152*30.4),TARIFA,1))*VLOOKUP((I152/G152*30.4),TARIFA,3)+VLOOKUP((I152/G152*30.4),TARIFA,2)-VLOOKUP((I152/G152*30.4),SUBSIDIO,2))/30.4*G152,2)&gt;0,ROUND((((I152/G152*30.4)-VLOOKUP((I152/G152*30.4),TARIFA,1))*VLOOKUP((I152/G152*30.4),TARIFA,3)+VLOOKUP((I152/G152*30.4),TARIFA,2)-VLOOKUP((I152/G152*30.4),SUBSIDIO,2))/30.4*G152,2),0),0)</f>
        <v>302.63</v>
      </c>
      <c r="L152" s="435">
        <v>0</v>
      </c>
      <c r="M152" s="435">
        <f t="shared" ref="M152" si="89">I152+J152-K152</f>
        <v>3721.37</v>
      </c>
      <c r="N152" s="435"/>
      <c r="O152" s="392">
        <v>4024.0799999999995</v>
      </c>
      <c r="Q152" s="45"/>
      <c r="R152" s="47"/>
    </row>
    <row r="153" spans="4:18" ht="60" customHeight="1" x14ac:dyDescent="0.5">
      <c r="D153" s="458" t="s">
        <v>273</v>
      </c>
      <c r="E153" s="431" t="s">
        <v>268</v>
      </c>
      <c r="F153" s="432" t="s">
        <v>282</v>
      </c>
      <c r="G153" s="433">
        <v>15</v>
      </c>
      <c r="H153" s="440">
        <v>3326</v>
      </c>
      <c r="I153" s="435">
        <f t="shared" si="88"/>
        <v>3326</v>
      </c>
      <c r="J153" s="436">
        <f>IFERROR(IF(ROUND((((I153/G153*30.4)-VLOOKUP((I153/G153*30.4),TARIFA,1))*VLOOKUP((I153/G153*30.4),TARIFA,3)+VLOOKUP((I153/G153*30.4),TARIFA,2)-VLOOKUP((I153/G153*30.4),SUBSIDIO,2))/30.4*G153,2)&lt;0,ROUND(-(((I153/G153*30.4)-VLOOKUP((I153/G153*30.4),TARIFA,1))*VLOOKUP((I153/G153*30.4),TARIFA,3)+VLOOKUP((I153/G153*30.4),TARIFA,2)-VLOOKUP((I153/G153*30.4),SUBSIDIO,2))/30.4*G153,2),0),0)</f>
        <v>0</v>
      </c>
      <c r="K153" s="436">
        <f>IFERROR(IF(ROUND((((I153/G153*30.4)-VLOOKUP((I153/G153*30.4),TARIFA,1))*VLOOKUP((I153/G153*30.4),TARIFA,3)+VLOOKUP((I153/G153*30.4),TARIFA,2)-VLOOKUP((I153/G153*30.4),SUBSIDIO,2))/30.4*G153,2)&gt;0,ROUND((((I153/G153*30.4)-VLOOKUP((I153/G153*30.4),TARIFA,1))*VLOOKUP((I153/G153*30.4),TARIFA,3)+VLOOKUP((I153/G153*30.4),TARIFA,2)-VLOOKUP((I153/G153*30.4),SUBSIDIO,2))/30.4*G153,2),0),0)</f>
        <v>101.58</v>
      </c>
      <c r="L153" s="435"/>
      <c r="M153" s="435">
        <f t="shared" si="79"/>
        <v>3224.42</v>
      </c>
      <c r="N153" s="435"/>
      <c r="O153" s="392">
        <v>3326.49</v>
      </c>
      <c r="Q153" s="45"/>
      <c r="R153" s="47"/>
    </row>
    <row r="154" spans="4:18" ht="60" customHeight="1" x14ac:dyDescent="0.5">
      <c r="D154" s="459"/>
      <c r="E154" s="443" t="s">
        <v>318</v>
      </c>
      <c r="F154" s="431"/>
      <c r="G154" s="433"/>
      <c r="H154" s="435"/>
      <c r="I154" s="435"/>
      <c r="J154" s="436"/>
      <c r="K154" s="436"/>
      <c r="L154" s="435"/>
      <c r="M154" s="435"/>
      <c r="N154" s="435"/>
      <c r="O154" s="392">
        <v>0</v>
      </c>
      <c r="Q154" s="45"/>
      <c r="R154" s="47"/>
    </row>
    <row r="155" spans="4:18" ht="60" hidden="1" customHeight="1" x14ac:dyDescent="0.5">
      <c r="D155" s="459"/>
      <c r="E155" s="431"/>
      <c r="F155" s="460"/>
      <c r="G155" s="433"/>
      <c r="H155" s="435"/>
      <c r="I155" s="435"/>
      <c r="J155" s="436"/>
      <c r="K155" s="436">
        <f>IFERROR(IF(ROUND((((I155/G155*30.4)-VLOOKUP((I155/G155*30.4),TARIFA,1))*VLOOKUP((I155/G155*30.4),TARIFA,3)+VLOOKUP((I155/G155*30.4),TARIFA,2)-VLOOKUP((I155/G155*30.4),SUBSIDIO,2))/30.4*G155,2)&gt;0,ROUND((((I155/G155*30.4)-VLOOKUP((I155/G155*30.4),TARIFA,1))*VLOOKUP((I155/G155*30.4),TARIFA,3)+VLOOKUP((I155/G155*30.4),TARIFA,2)-VLOOKUP((I155/G155*30.4),SUBSIDIO,2))/30.4*G155,2),0),0)</f>
        <v>0</v>
      </c>
      <c r="L155" s="435"/>
      <c r="M155" s="435">
        <f t="shared" si="79"/>
        <v>0</v>
      </c>
      <c r="N155" s="435"/>
      <c r="O155" s="392">
        <v>0</v>
      </c>
      <c r="Q155" s="45"/>
      <c r="R155" s="47"/>
    </row>
    <row r="156" spans="4:18" ht="60" customHeight="1" x14ac:dyDescent="0.5">
      <c r="D156" s="453" t="s">
        <v>519</v>
      </c>
      <c r="E156" s="461" t="s">
        <v>321</v>
      </c>
      <c r="F156" s="462" t="s">
        <v>282</v>
      </c>
      <c r="G156" s="456">
        <v>15</v>
      </c>
      <c r="H156" s="440">
        <v>3414</v>
      </c>
      <c r="I156" s="435">
        <f t="shared" ref="I156" si="90">ROUND(H156/15*G156,2)</f>
        <v>3414</v>
      </c>
      <c r="J156" s="436">
        <f t="shared" ref="J156" si="91">IFERROR(IF(ROUND((((I156/G156*30.4)-VLOOKUP((I156/G156*30.4),TARIFA,1))*VLOOKUP((I156/G156*30.4),TARIFA,3)+VLOOKUP((I156/G156*30.4),TARIFA,2)-VLOOKUP((I156/G156*30.4),SUBSIDIO,2))/30.4*G156,2)&lt;0,ROUND(-(((I156/G156*30.4)-VLOOKUP((I156/G156*30.4),TARIFA,1))*VLOOKUP((I156/G156*30.4),TARIFA,3)+VLOOKUP((I156/G156*30.4),TARIFA,2)-VLOOKUP((I156/G156*30.4),SUBSIDIO,2))/30.4*G156,2),0),0)</f>
        <v>0</v>
      </c>
      <c r="K156" s="436">
        <f>IFERROR(IF(ROUND((((I156/G156*30.4)-VLOOKUP((I156/G156*30.4),TARIFA,1))*VLOOKUP((I156/G156*30.4),TARIFA,3)+VLOOKUP((I156/G156*30.4),TARIFA,2)-VLOOKUP((I156/G156*30.4),SUBSIDIO,2))/30.4*G156,2)&gt;0,ROUND((((I156/G156*30.4)-VLOOKUP((I156/G156*30.4),TARIFA,1))*VLOOKUP((I156/G156*30.4),TARIFA,3)+VLOOKUP((I156/G156*30.4),TARIFA,2)-VLOOKUP((I156/G156*30.4),SUBSIDIO,2))/30.4*G156,2),0),0)</f>
        <v>111.16</v>
      </c>
      <c r="L156" s="435"/>
      <c r="M156" s="435">
        <f t="shared" si="79"/>
        <v>3302.84</v>
      </c>
      <c r="N156" s="435"/>
      <c r="O156" s="392">
        <v>3414.4649999999997</v>
      </c>
      <c r="Q156" s="45"/>
      <c r="R156" s="47"/>
    </row>
    <row r="157" spans="4:18" ht="60" hidden="1" customHeight="1" x14ac:dyDescent="0.5">
      <c r="D157" s="463"/>
      <c r="E157" s="464"/>
      <c r="F157" s="465"/>
      <c r="G157" s="465"/>
      <c r="H157" s="466"/>
      <c r="I157" s="466"/>
      <c r="J157" s="467"/>
      <c r="K157" s="467"/>
      <c r="L157" s="465"/>
      <c r="M157" s="465"/>
      <c r="N157" s="435"/>
      <c r="O157" s="392">
        <v>0</v>
      </c>
      <c r="Q157" s="45"/>
      <c r="R157" s="47"/>
    </row>
    <row r="158" spans="4:18" ht="60" hidden="1" customHeight="1" x14ac:dyDescent="0.5">
      <c r="D158" s="468"/>
      <c r="E158" s="425"/>
      <c r="F158" s="462"/>
      <c r="G158" s="426"/>
      <c r="H158" s="440"/>
      <c r="I158" s="435"/>
      <c r="J158" s="429"/>
      <c r="K158" s="429"/>
      <c r="L158" s="428">
        <v>0</v>
      </c>
      <c r="M158" s="428"/>
      <c r="N158" s="435"/>
      <c r="O158" s="392">
        <v>0</v>
      </c>
      <c r="Q158" s="45"/>
      <c r="R158" s="47"/>
    </row>
    <row r="159" spans="4:18" ht="60" customHeight="1" x14ac:dyDescent="0.5">
      <c r="D159" s="469" t="s">
        <v>247</v>
      </c>
      <c r="E159" s="431" t="s">
        <v>90</v>
      </c>
      <c r="F159" s="431" t="s">
        <v>35</v>
      </c>
      <c r="G159" s="433">
        <v>15</v>
      </c>
      <c r="H159" s="440">
        <v>4259</v>
      </c>
      <c r="I159" s="435">
        <f t="shared" ref="I159" si="92">ROUND(H159/15*G159,2)</f>
        <v>4259</v>
      </c>
      <c r="J159" s="436">
        <f t="shared" ref="J159:J163" si="93">IFERROR(IF(ROUND((((I159/G159*30.4)-VLOOKUP((I159/G159*30.4),TARIFA,1))*VLOOKUP((I159/G159*30.4),TARIFA,3)+VLOOKUP((I159/G159*30.4),TARIFA,2)-VLOOKUP((I159/G159*30.4),SUBSIDIO,2))/30.4*G159,2)&lt;0,ROUND(-(((I159/G159*30.4)-VLOOKUP((I159/G159*30.4),TARIFA,1))*VLOOKUP((I159/G159*30.4),TARIFA,3)+VLOOKUP((I159/G159*30.4),TARIFA,2)-VLOOKUP((I159/G159*30.4),SUBSIDIO,2))/30.4*G159,2),0),0)</f>
        <v>0</v>
      </c>
      <c r="K159" s="436">
        <f t="shared" ref="K159" si="94">IFERROR(IF(ROUND((((I159/G159*30.4)-VLOOKUP((I159/G159*30.4),TARIFA,1))*VLOOKUP((I159/G159*30.4),TARIFA,3)+VLOOKUP((I159/G159*30.4),TARIFA,2)-VLOOKUP((I159/G159*30.4),SUBSIDIO,2))/30.4*G159,2)&gt;0,ROUND((((I159/G159*30.4)-VLOOKUP((I159/G159*30.4),TARIFA,1))*VLOOKUP((I159/G159*30.4),TARIFA,3)+VLOOKUP((I159/G159*30.4),TARIFA,2)-VLOOKUP((I159/G159*30.4),SUBSIDIO,2))/30.4*G159,2),0),0)</f>
        <v>328.19</v>
      </c>
      <c r="L159" s="435">
        <v>0</v>
      </c>
      <c r="M159" s="440">
        <f t="shared" ref="M159" si="95">I159+J159-K159-L159</f>
        <v>3930.81</v>
      </c>
      <c r="N159" s="435"/>
      <c r="O159" s="392">
        <v>4259.0249999999996</v>
      </c>
      <c r="Q159" s="45"/>
      <c r="R159" s="47"/>
    </row>
    <row r="160" spans="4:18" ht="60" customHeight="1" x14ac:dyDescent="0.5">
      <c r="D160" s="459"/>
      <c r="E160" s="443" t="s">
        <v>172</v>
      </c>
      <c r="F160" s="432"/>
      <c r="G160" s="433"/>
      <c r="H160" s="435"/>
      <c r="I160" s="435"/>
      <c r="J160" s="436"/>
      <c r="K160" s="436"/>
      <c r="L160" s="435"/>
      <c r="M160" s="435"/>
      <c r="N160" s="435"/>
      <c r="O160" s="392">
        <v>0</v>
      </c>
      <c r="Q160" s="45"/>
      <c r="R160" s="47"/>
    </row>
    <row r="161" spans="4:18" ht="60" customHeight="1" x14ac:dyDescent="0.5">
      <c r="D161" s="444" t="s">
        <v>520</v>
      </c>
      <c r="E161" s="431" t="s">
        <v>327</v>
      </c>
      <c r="F161" s="431" t="s">
        <v>282</v>
      </c>
      <c r="G161" s="433">
        <v>15</v>
      </c>
      <c r="H161" s="440">
        <v>3414</v>
      </c>
      <c r="I161" s="435">
        <f t="shared" ref="I161" si="96">ROUND(H161/15*G161,2)</f>
        <v>3414</v>
      </c>
      <c r="J161" s="436">
        <f t="shared" si="93"/>
        <v>0</v>
      </c>
      <c r="K161" s="436">
        <f>IFERROR(IF(ROUND((((I161/G161*30.4)-VLOOKUP((I161/G161*30.4),TARIFA,1))*VLOOKUP((I161/G161*30.4),TARIFA,3)+VLOOKUP((I161/G161*30.4),TARIFA,2)-VLOOKUP((I161/G161*30.4),SUBSIDIO,2))/30.4*G161,2)&gt;0,ROUND((((I161/G161*30.4)-VLOOKUP((I161/G161*30.4),TARIFA,1))*VLOOKUP((I161/G161*30.4),TARIFA,3)+VLOOKUP((I161/G161*30.4),TARIFA,2)-VLOOKUP((I161/G161*30.4),SUBSIDIO,2))/30.4*G161,2),0),0)</f>
        <v>111.16</v>
      </c>
      <c r="L161" s="435"/>
      <c r="M161" s="435">
        <f t="shared" ref="M161" si="97">I161+J161-K161-L161</f>
        <v>3302.84</v>
      </c>
      <c r="N161" s="435"/>
      <c r="O161" s="392">
        <v>3414.4649999999997</v>
      </c>
      <c r="Q161" s="45"/>
      <c r="R161" s="47"/>
    </row>
    <row r="162" spans="4:18" ht="60" customHeight="1" x14ac:dyDescent="0.5">
      <c r="D162" s="444"/>
      <c r="E162" s="443" t="s">
        <v>340</v>
      </c>
      <c r="F162" s="431"/>
      <c r="G162" s="433"/>
      <c r="H162" s="440"/>
      <c r="I162" s="435"/>
      <c r="J162" s="436"/>
      <c r="K162" s="436"/>
      <c r="L162" s="435"/>
      <c r="M162" s="435"/>
      <c r="N162" s="435"/>
      <c r="O162" s="392">
        <v>0</v>
      </c>
      <c r="Q162" s="45"/>
      <c r="R162" s="47"/>
    </row>
    <row r="163" spans="4:18" ht="60" customHeight="1" x14ac:dyDescent="0.5">
      <c r="D163" s="444" t="s">
        <v>521</v>
      </c>
      <c r="E163" s="431" t="s">
        <v>341</v>
      </c>
      <c r="F163" s="432" t="s">
        <v>342</v>
      </c>
      <c r="G163" s="433">
        <v>15</v>
      </c>
      <c r="H163" s="435">
        <v>4489</v>
      </c>
      <c r="I163" s="435">
        <f t="shared" ref="I163" si="98">ROUND(H163/15*G163,2)</f>
        <v>4489</v>
      </c>
      <c r="J163" s="436">
        <f t="shared" si="93"/>
        <v>0</v>
      </c>
      <c r="K163" s="436">
        <f>IFERROR(IF(ROUND((((I163/G163*30.4)-VLOOKUP((I163/G163*30.4),TARIFA,1))*VLOOKUP((I163/G163*30.4),TARIFA,3)+VLOOKUP((I163/G163*30.4),TARIFA,2)-VLOOKUP((I163/G163*30.4),SUBSIDIO,2))/30.4*G163,2)&gt;0,ROUND((((I163/G163*30.4)-VLOOKUP((I163/G163*30.4),TARIFA,1))*VLOOKUP((I163/G163*30.4),TARIFA,3)+VLOOKUP((I163/G163*30.4),TARIFA,2)-VLOOKUP((I163/G163*30.4),SUBSIDIO,2))/30.4*G163,2),0),0)</f>
        <v>353.22</v>
      </c>
      <c r="L163" s="435"/>
      <c r="M163" s="435">
        <f t="shared" ref="M163" si="99">I163+J163-K163-L163</f>
        <v>4135.78</v>
      </c>
      <c r="N163" s="435"/>
      <c r="O163" s="392">
        <v>4488.7950000000001</v>
      </c>
      <c r="Q163" s="45"/>
      <c r="R163" s="47"/>
    </row>
    <row r="164" spans="4:18" ht="60" customHeight="1" x14ac:dyDescent="0.5">
      <c r="D164" s="444"/>
      <c r="E164" s="443" t="s">
        <v>356</v>
      </c>
      <c r="F164" s="432"/>
      <c r="G164" s="433"/>
      <c r="H164" s="435"/>
      <c r="I164" s="435"/>
      <c r="J164" s="436"/>
      <c r="K164" s="436"/>
      <c r="L164" s="435"/>
      <c r="M164" s="435"/>
      <c r="N164" s="435"/>
      <c r="O164" s="392">
        <v>0</v>
      </c>
      <c r="Q164" s="45"/>
      <c r="R164" s="47"/>
    </row>
    <row r="165" spans="4:18" ht="60" customHeight="1" x14ac:dyDescent="0.5">
      <c r="D165" s="444" t="s">
        <v>522</v>
      </c>
      <c r="E165" s="431" t="s">
        <v>357</v>
      </c>
      <c r="F165" s="432" t="s">
        <v>359</v>
      </c>
      <c r="G165" s="433">
        <v>15</v>
      </c>
      <c r="H165" s="434">
        <v>4024</v>
      </c>
      <c r="I165" s="435">
        <f t="shared" ref="I165:I166" si="100">ROUND(H165/15*G165,2)</f>
        <v>4024</v>
      </c>
      <c r="J165" s="436">
        <f>IFERROR(IF(ROUND((((I165/G165*30.4)-VLOOKUP((I165/G165*30.4),TARIFA,1))*VLOOKUP((I165/G165*30.4),TARIFA,3)+VLOOKUP((I165/G165*30.4),TARIFA,2)-VLOOKUP((I165/G165*30.4),SUBSIDIO,2))/30.4*G165,2)&lt;0,ROUND(-(((I165/G165*30.4)-VLOOKUP((I165/G165*30.4),TARIFA,1))*VLOOKUP((I165/G165*30.4),TARIFA,3)+VLOOKUP((I165/G165*30.4),TARIFA,2)-VLOOKUP((I165/G165*30.4),SUBSIDIO,2))/30.4*G165,2),0),0)</f>
        <v>0</v>
      </c>
      <c r="K165" s="435">
        <f>IFERROR(IF(ROUND((((I165/G165*30.4)-VLOOKUP((I165/G165*30.4),TARIFA,1))*VLOOKUP((I165/G165*30.4),TARIFA,3)+VLOOKUP((I165/G165*30.4),TARIFA,2)-VLOOKUP((I165/G165*30.4),SUBSIDIO,2))/30.4*G165,2)&gt;0,ROUND((((I165/G165*30.4)-VLOOKUP((I165/G165*30.4),TARIFA,1))*VLOOKUP((I165/G165*30.4),TARIFA,3)+VLOOKUP((I165/G165*30.4),TARIFA,2)-VLOOKUP((I165/G165*30.4),SUBSIDIO,2))/30.4*G165,2),0),0)</f>
        <v>302.63</v>
      </c>
      <c r="L165" s="435">
        <v>0</v>
      </c>
      <c r="M165" s="435">
        <f t="shared" ref="M165" si="101">I165+J165-K165</f>
        <v>3721.37</v>
      </c>
      <c r="N165" s="435"/>
      <c r="O165" s="392">
        <v>4024.0799999999995</v>
      </c>
      <c r="Q165" s="45"/>
      <c r="R165" s="47"/>
    </row>
    <row r="166" spans="4:18" ht="60" customHeight="1" x14ac:dyDescent="0.5">
      <c r="D166" s="444" t="s">
        <v>523</v>
      </c>
      <c r="E166" s="431" t="s">
        <v>358</v>
      </c>
      <c r="F166" s="432" t="s">
        <v>282</v>
      </c>
      <c r="G166" s="433">
        <v>15</v>
      </c>
      <c r="H166" s="440">
        <v>3414</v>
      </c>
      <c r="I166" s="435">
        <f t="shared" si="100"/>
        <v>3414</v>
      </c>
      <c r="J166" s="436">
        <f t="shared" ref="J166" si="102">IFERROR(IF(ROUND((((I166/G166*30.4)-VLOOKUP((I166/G166*30.4),TARIFA,1))*VLOOKUP((I166/G166*30.4),TARIFA,3)+VLOOKUP((I166/G166*30.4),TARIFA,2)-VLOOKUP((I166/G166*30.4),SUBSIDIO,2))/30.4*G166,2)&lt;0,ROUND(-(((I166/G166*30.4)-VLOOKUP((I166/G166*30.4),TARIFA,1))*VLOOKUP((I166/G166*30.4),TARIFA,3)+VLOOKUP((I166/G166*30.4),TARIFA,2)-VLOOKUP((I166/G166*30.4),SUBSIDIO,2))/30.4*G166,2),0),0)</f>
        <v>0</v>
      </c>
      <c r="K166" s="436">
        <f>IFERROR(IF(ROUND((((I166/G166*30.4)-VLOOKUP((I166/G166*30.4),TARIFA,1))*VLOOKUP((I166/G166*30.4),TARIFA,3)+VLOOKUP((I166/G166*30.4),TARIFA,2)-VLOOKUP((I166/G166*30.4),SUBSIDIO,2))/30.4*G166,2)&gt;0,ROUND((((I166/G166*30.4)-VLOOKUP((I166/G166*30.4),TARIFA,1))*VLOOKUP((I166/G166*30.4),TARIFA,3)+VLOOKUP((I166/G166*30.4),TARIFA,2)-VLOOKUP((I166/G166*30.4),SUBSIDIO,2))/30.4*G166,2),0),0)</f>
        <v>111.16</v>
      </c>
      <c r="L166" s="435"/>
      <c r="M166" s="435">
        <f t="shared" ref="M166" si="103">I166+J166-K166-L166</f>
        <v>3302.84</v>
      </c>
      <c r="N166" s="435"/>
      <c r="O166" s="392">
        <v>3414.4649999999997</v>
      </c>
      <c r="Q166" s="45"/>
      <c r="R166" s="47"/>
    </row>
    <row r="167" spans="4:18" ht="60" customHeight="1" x14ac:dyDescent="0.5">
      <c r="D167" s="444"/>
      <c r="E167" s="443" t="s">
        <v>360</v>
      </c>
      <c r="F167" s="432"/>
      <c r="G167" s="433"/>
      <c r="H167" s="440"/>
      <c r="I167" s="435"/>
      <c r="J167" s="436"/>
      <c r="K167" s="436"/>
      <c r="L167" s="435"/>
      <c r="M167" s="435"/>
      <c r="N167" s="435"/>
      <c r="O167" s="392">
        <v>0</v>
      </c>
      <c r="Q167" s="45"/>
      <c r="R167" s="47"/>
    </row>
    <row r="168" spans="4:18" ht="60" customHeight="1" x14ac:dyDescent="0.5">
      <c r="D168" s="444" t="s">
        <v>524</v>
      </c>
      <c r="E168" s="431" t="s">
        <v>361</v>
      </c>
      <c r="F168" s="432" t="s">
        <v>282</v>
      </c>
      <c r="G168" s="433">
        <v>15</v>
      </c>
      <c r="H168" s="434">
        <v>4024</v>
      </c>
      <c r="I168" s="435">
        <f t="shared" ref="I168" si="104">ROUND(H168/15*G168,2)</f>
        <v>4024</v>
      </c>
      <c r="J168" s="436">
        <f>IFERROR(IF(ROUND((((I168/G168*30.4)-VLOOKUP((I168/G168*30.4),TARIFA,1))*VLOOKUP((I168/G168*30.4),TARIFA,3)+VLOOKUP((I168/G168*30.4),TARIFA,2)-VLOOKUP((I168/G168*30.4),SUBSIDIO,2))/30.4*G168,2)&lt;0,ROUND(-(((I168/G168*30.4)-VLOOKUP((I168/G168*30.4),TARIFA,1))*VLOOKUP((I168/G168*30.4),TARIFA,3)+VLOOKUP((I168/G168*30.4),TARIFA,2)-VLOOKUP((I168/G168*30.4),SUBSIDIO,2))/30.4*G168,2),0),0)</f>
        <v>0</v>
      </c>
      <c r="K168" s="435">
        <f>IFERROR(IF(ROUND((((I168/G168*30.4)-VLOOKUP((I168/G168*30.4),TARIFA,1))*VLOOKUP((I168/G168*30.4),TARIFA,3)+VLOOKUP((I168/G168*30.4),TARIFA,2)-VLOOKUP((I168/G168*30.4),SUBSIDIO,2))/30.4*G168,2)&gt;0,ROUND((((I168/G168*30.4)-VLOOKUP((I168/G168*30.4),TARIFA,1))*VLOOKUP((I168/G168*30.4),TARIFA,3)+VLOOKUP((I168/G168*30.4),TARIFA,2)-VLOOKUP((I168/G168*30.4),SUBSIDIO,2))/30.4*G168,2),0),0)</f>
        <v>302.63</v>
      </c>
      <c r="L168" s="435">
        <v>0</v>
      </c>
      <c r="M168" s="435">
        <f t="shared" ref="M168" si="105">I168+J168-K168</f>
        <v>3721.37</v>
      </c>
      <c r="N168" s="435"/>
      <c r="O168" s="392">
        <v>4024.0799999999995</v>
      </c>
      <c r="Q168" s="45"/>
      <c r="R168" s="47"/>
    </row>
    <row r="169" spans="4:18" ht="60" hidden="1" customHeight="1" x14ac:dyDescent="0.5">
      <c r="D169" s="444"/>
      <c r="E169" s="443"/>
      <c r="F169" s="431"/>
      <c r="G169" s="433"/>
      <c r="H169" s="440"/>
      <c r="I169" s="435"/>
      <c r="J169" s="436"/>
      <c r="K169" s="436"/>
      <c r="L169" s="435"/>
      <c r="M169" s="435"/>
      <c r="N169" s="435"/>
      <c r="Q169" s="45"/>
      <c r="R169" s="47"/>
    </row>
    <row r="170" spans="4:18" ht="60" hidden="1" customHeight="1" x14ac:dyDescent="0.5">
      <c r="D170" s="444"/>
      <c r="E170" s="431"/>
      <c r="F170" s="431"/>
      <c r="G170" s="433">
        <v>15</v>
      </c>
      <c r="H170" s="434">
        <v>0</v>
      </c>
      <c r="I170" s="434">
        <v>0</v>
      </c>
      <c r="J170" s="436">
        <f>IFERROR(IF(ROUND((((I170/G170*30.4)-VLOOKUP((I170/G170*30.4),TARIFA,1))*VLOOKUP((I170/G170*30.4),TARIFA,3)+VLOOKUP((I170/G170*30.4),TARIFA,2)-VLOOKUP((I170/G170*30.4),SUBSIDIO,2))/30.4*G170,2)&lt;0,ROUND(-(((I170/G170*30.4)-VLOOKUP((I170/G170*30.4),TARIFA,1))*VLOOKUP((I170/G170*30.4),TARIFA,3)+VLOOKUP((I170/G170*30.4),TARIFA,2)-VLOOKUP((I170/G170*30.4),SUBSIDIO,2))/30.4*G170,2),0),0)</f>
        <v>0</v>
      </c>
      <c r="K170" s="435">
        <f>IFERROR(IF(ROUND((((I170/G170*30.4)-VLOOKUP((I170/G170*30.4),TARIFA,1))*VLOOKUP((I170/G170*30.4),TARIFA,3)+VLOOKUP((I170/G170*30.4),TARIFA,2)-VLOOKUP((I170/G170*30.4),SUBSIDIO,2))/30.4*G170,2)&gt;0,ROUND((((I170/G170*30.4)-VLOOKUP((I170/G170*30.4),TARIFA,1))*VLOOKUP((I170/G170*30.4),TARIFA,3)+VLOOKUP((I170/G170*30.4),TARIFA,2)-VLOOKUP((I170/G170*30.4),SUBSIDIO,2))/30.4*G170,2),0),0)</f>
        <v>0</v>
      </c>
      <c r="L170" s="435">
        <v>0</v>
      </c>
      <c r="M170" s="435">
        <f t="shared" ref="M170" si="106">I170+J170-K170</f>
        <v>0</v>
      </c>
      <c r="N170" s="435"/>
      <c r="Q170" s="45"/>
      <c r="R170" s="47"/>
    </row>
    <row r="171" spans="4:18" ht="60" hidden="1" customHeight="1" x14ac:dyDescent="0.5">
      <c r="D171" s="444"/>
      <c r="E171" s="431"/>
      <c r="F171" s="432"/>
      <c r="G171" s="433">
        <v>15</v>
      </c>
      <c r="H171" s="440">
        <v>0</v>
      </c>
      <c r="I171" s="435">
        <v>0</v>
      </c>
      <c r="J171" s="436"/>
      <c r="K171" s="436">
        <f>IFERROR(IF(ROUND((((I171/G171*30.4)-VLOOKUP((I171/G171*30.4),TARIFA,1))*VLOOKUP((I171/G171*30.4),TARIFA,3)+VLOOKUP((I171/G171*30.4),TARIFA,2)-VLOOKUP((I171/G171*30.4),SUBSIDIO,2))/30.4*G171,2)&gt;0,ROUND((((I171/G171*30.4)-VLOOKUP((I171/G171*30.4),TARIFA,1))*VLOOKUP((I171/G171*30.4),TARIFA,3)+VLOOKUP((I171/G171*30.4),TARIFA,2)-VLOOKUP((I171/G171*30.4),SUBSIDIO,2))/30.4*G171,2),0),0)</f>
        <v>0</v>
      </c>
      <c r="L171" s="435"/>
      <c r="M171" s="435">
        <f t="shared" ref="M171" si="107">I171+J171-K171-L171</f>
        <v>0</v>
      </c>
      <c r="N171" s="435"/>
      <c r="Q171" s="45"/>
      <c r="R171" s="47"/>
    </row>
    <row r="172" spans="4:18" ht="39.9" customHeight="1" thickBot="1" x14ac:dyDescent="0.55000000000000004">
      <c r="D172" s="470"/>
      <c r="E172" s="471"/>
      <c r="F172" s="472"/>
      <c r="G172" s="473" t="s">
        <v>6</v>
      </c>
      <c r="H172" s="474">
        <f>H183+H122+H84+H41</f>
        <v>275158.13</v>
      </c>
      <c r="I172" s="474">
        <f>I183+I122+I84+I41</f>
        <v>275158.13</v>
      </c>
      <c r="J172" s="474">
        <f>J183+J122+J84+J41</f>
        <v>1346.1900000000003</v>
      </c>
      <c r="K172" s="474">
        <f>K183+K122+K84+K41</f>
        <v>16133.749999999998</v>
      </c>
      <c r="L172" s="474" t="e">
        <f>L171+#REF!+#REF!+L163+#REF!+L158+L156+L155+L153+L147+L146+L145+#REF!+L143+L142+L141+L140+L139+L138+L136+#REF!+#REF!+L112+L104+L98+L94+#REF!+L83+L82+L79+L78+L77+L76+L75+L74+L73+L72+L71+#REF!+#REF!+L70+L69+L68+L67+#REF!+#REF!+#REF!+L66+L65+#REF!+#REF!+#REF!+#REF!+#REF!+#REF!+#REF!+L38+#REF!+L33+L32+L31+L27+L26+#REF!+L16+#REF!+L14+L13</f>
        <v>#REF!</v>
      </c>
      <c r="M172" s="474">
        <f>M182+M122+M84+M41</f>
        <v>259135.33999999997</v>
      </c>
      <c r="N172" s="475"/>
      <c r="Q172" s="47"/>
      <c r="R172" s="47"/>
    </row>
    <row r="173" spans="4:18" ht="30.6" thickTop="1" x14ac:dyDescent="0.5">
      <c r="D173" s="476"/>
      <c r="E173" s="477"/>
      <c r="F173" s="477"/>
      <c r="G173" s="477"/>
      <c r="H173" s="478"/>
      <c r="I173" s="478"/>
      <c r="J173" s="479"/>
      <c r="K173" s="479"/>
      <c r="L173" s="477"/>
      <c r="M173" s="480"/>
      <c r="N173" s="477"/>
    </row>
    <row r="174" spans="4:18" ht="30" x14ac:dyDescent="0.5">
      <c r="D174" s="476"/>
      <c r="E174" s="477"/>
      <c r="F174" s="477"/>
      <c r="G174" s="477"/>
      <c r="H174" s="481">
        <f>SUM(H136:H171)</f>
        <v>58877</v>
      </c>
      <c r="I174" s="482">
        <f>SUM(I136:I171)</f>
        <v>58877</v>
      </c>
      <c r="J174" s="483">
        <f>SUM(J136:J171)</f>
        <v>1336.7000000000003</v>
      </c>
      <c r="K174" s="483">
        <f>SUM(K135:K171)</f>
        <v>2229.29</v>
      </c>
      <c r="L174" s="484"/>
      <c r="M174" s="485">
        <f>SUM(M136:M171)</f>
        <v>57984.409999999996</v>
      </c>
      <c r="N174" s="477"/>
    </row>
    <row r="175" spans="4:18" ht="30" x14ac:dyDescent="0.5">
      <c r="D175" s="476"/>
      <c r="E175" s="477"/>
      <c r="F175" s="477"/>
      <c r="G175" s="477"/>
      <c r="H175" s="481">
        <f>H174+H122+H84+H41</f>
        <v>275158.13</v>
      </c>
      <c r="I175" s="482">
        <f>I174+I122+I84+I41</f>
        <v>275158.13</v>
      </c>
      <c r="J175" s="483">
        <f>J174+J122+J84+J41</f>
        <v>1346.1900000000003</v>
      </c>
      <c r="K175" s="483">
        <f>K174+K122+K84+K41</f>
        <v>16133.749999999998</v>
      </c>
      <c r="L175" s="484"/>
      <c r="M175" s="485"/>
      <c r="N175" s="480"/>
    </row>
    <row r="176" spans="4:18" ht="30" x14ac:dyDescent="0.5">
      <c r="D176" s="476"/>
      <c r="E176" s="477"/>
      <c r="F176" s="477"/>
      <c r="G176" s="477"/>
      <c r="H176" s="486"/>
      <c r="I176" s="486"/>
      <c r="J176" s="483">
        <f>J174+J122+J84+J41</f>
        <v>1346.1900000000003</v>
      </c>
      <c r="K176" s="483">
        <f>K174+K122+K84+K41</f>
        <v>16133.749999999998</v>
      </c>
      <c r="L176" s="484"/>
      <c r="M176" s="484"/>
      <c r="N176" s="477"/>
    </row>
    <row r="177" spans="4:14" ht="30" x14ac:dyDescent="0.5">
      <c r="D177" s="476"/>
      <c r="E177" s="477" t="s">
        <v>98</v>
      </c>
      <c r="F177" s="477"/>
      <c r="G177" s="477"/>
      <c r="H177" s="482"/>
      <c r="I177" s="487"/>
      <c r="J177" s="483"/>
      <c r="K177" s="483"/>
      <c r="L177" s="477"/>
      <c r="M177" s="488"/>
      <c r="N177" s="488"/>
    </row>
    <row r="178" spans="4:14" ht="30" x14ac:dyDescent="0.5">
      <c r="D178" s="476"/>
      <c r="E178" s="489" t="s">
        <v>404</v>
      </c>
      <c r="F178" s="489"/>
      <c r="G178" s="489"/>
      <c r="H178" s="490"/>
      <c r="I178" s="490"/>
      <c r="J178" s="491"/>
      <c r="K178" s="491"/>
      <c r="L178" s="489"/>
      <c r="M178" s="559" t="s">
        <v>403</v>
      </c>
      <c r="N178" s="559"/>
    </row>
    <row r="179" spans="4:14" ht="30" x14ac:dyDescent="0.5">
      <c r="D179" s="476"/>
      <c r="E179" s="492" t="s">
        <v>11</v>
      </c>
      <c r="F179" s="492"/>
      <c r="G179" s="492"/>
      <c r="H179" s="490"/>
      <c r="I179" s="490"/>
      <c r="J179" s="491"/>
      <c r="K179" s="491"/>
      <c r="L179" s="492"/>
      <c r="M179" s="551" t="s">
        <v>137</v>
      </c>
      <c r="N179" s="551"/>
    </row>
    <row r="180" spans="4:14" s="13" customFormat="1" x14ac:dyDescent="0.25">
      <c r="D180" s="394"/>
      <c r="E180" s="1"/>
      <c r="F180" s="1"/>
      <c r="G180" s="2"/>
      <c r="H180" s="6"/>
      <c r="I180" s="6"/>
      <c r="J180" s="228"/>
      <c r="K180" s="228"/>
      <c r="L180" s="1"/>
      <c r="M180" s="1"/>
      <c r="N180" s="1"/>
    </row>
    <row r="181" spans="4:14" s="13" customFormat="1" x14ac:dyDescent="0.25">
      <c r="D181" s="394"/>
      <c r="E181" s="29"/>
      <c r="F181" s="27"/>
      <c r="G181" s="27"/>
      <c r="H181" s="27"/>
      <c r="I181" s="27"/>
      <c r="J181" s="220"/>
      <c r="K181" s="220"/>
      <c r="L181" s="27"/>
      <c r="M181" s="123"/>
      <c r="N181" s="27"/>
    </row>
    <row r="182" spans="4:14" x14ac:dyDescent="0.25">
      <c r="G182" s="2"/>
      <c r="H182" s="2"/>
      <c r="I182" s="2"/>
      <c r="J182" s="229"/>
      <c r="K182" s="229"/>
      <c r="M182" s="47">
        <f>M168+M166+M165+M163+M161+M159+M156+M153+M152+M150+M149+M148+M147+M146+M145+M144+M143+M141+M140+M139+M138+M136</f>
        <v>56749.180000000029</v>
      </c>
    </row>
    <row r="183" spans="4:14" x14ac:dyDescent="0.25">
      <c r="H183" s="310">
        <f>H168+H166+H165+H163+H161+H159+H156+H153+H152+H150+H149+H148+H147+H146+H145+H144+H143+H142+H141+H140+H139+H138+H136</f>
        <v>58877</v>
      </c>
      <c r="I183" s="310">
        <f t="shared" ref="I183:L183" si="108">SUM(I136:I171)</f>
        <v>58877</v>
      </c>
      <c r="J183" s="310">
        <f t="shared" si="108"/>
        <v>1336.7000000000003</v>
      </c>
      <c r="K183" s="310">
        <f t="shared" si="108"/>
        <v>2229.29</v>
      </c>
      <c r="L183" s="310">
        <f t="shared" si="108"/>
        <v>0</v>
      </c>
      <c r="M183" s="310">
        <f>SUM(M136:M171)</f>
        <v>57984.409999999996</v>
      </c>
    </row>
    <row r="184" spans="4:14" x14ac:dyDescent="0.25">
      <c r="H184" s="2"/>
      <c r="I184" s="2"/>
      <c r="J184" s="229"/>
      <c r="K184" s="229"/>
      <c r="M184" s="9"/>
    </row>
    <row r="185" spans="4:14" x14ac:dyDescent="0.25">
      <c r="H185" s="2"/>
      <c r="I185" s="2"/>
      <c r="J185" s="229"/>
      <c r="K185" s="229"/>
      <c r="M185" s="47">
        <f>M168+M166+M165+M163+M161+M159+M156+M153+M152+M150+M149+M148+M147+M146+M145+M144+M143+M142+M141+M140+M138+M139+M136</f>
        <v>57984.410000000033</v>
      </c>
    </row>
    <row r="187" spans="4:14" x14ac:dyDescent="0.25">
      <c r="H187" s="310" t="e">
        <f>H171+H170+H168+H166+H165+H163+H161+H159+H156+H153+H152+H147+H146+H145+H144+H143+H142+H141+H140+H139+H138+H136+H119+H112+H111+H107+H105+H102+H100+H98+H96+H94+H81+H79+H78+H77+H76+H75+H74+H73+H72+H71+H70+H69+H68+H67+#REF!+H66+H65+H64+H62+H60+H59+H57+H56+H52+H51+H38+#REF!+H36+H33+H29+H27+H24+H23+H22+H20+H18+H16+H14+H13+H12</f>
        <v>#REF!</v>
      </c>
      <c r="M187" s="9"/>
    </row>
    <row r="188" spans="4:14" x14ac:dyDescent="0.25">
      <c r="M188" s="9"/>
    </row>
    <row r="190" spans="4:14" x14ac:dyDescent="0.25">
      <c r="M190" s="47">
        <f>M183+M123+M84+M41</f>
        <v>216825.50999999995</v>
      </c>
    </row>
    <row r="191" spans="4:14" x14ac:dyDescent="0.25">
      <c r="M191" s="9"/>
    </row>
    <row r="193" spans="13:13" x14ac:dyDescent="0.25">
      <c r="M193" s="47"/>
    </row>
    <row r="194" spans="13:13" x14ac:dyDescent="0.25">
      <c r="M194" s="47">
        <f>M182+M122+M84+M41</f>
        <v>259135.33999999997</v>
      </c>
    </row>
  </sheetData>
  <sheetProtection selectLockedCells="1" selectUnlockedCells="1"/>
  <mergeCells count="26">
    <mergeCell ref="D42:N42"/>
    <mergeCell ref="D43:N43"/>
    <mergeCell ref="D44:N44"/>
    <mergeCell ref="D45:N45"/>
    <mergeCell ref="D3:N3"/>
    <mergeCell ref="D5:N5"/>
    <mergeCell ref="H7:J7"/>
    <mergeCell ref="D6:N6"/>
    <mergeCell ref="D7:D10"/>
    <mergeCell ref="D4:N4"/>
    <mergeCell ref="M179:N179"/>
    <mergeCell ref="H46:J46"/>
    <mergeCell ref="D127:N127"/>
    <mergeCell ref="H131:J131"/>
    <mergeCell ref="M178:N178"/>
    <mergeCell ref="D88:N88"/>
    <mergeCell ref="H89:J89"/>
    <mergeCell ref="D130:N130"/>
    <mergeCell ref="D85:N85"/>
    <mergeCell ref="D128:N128"/>
    <mergeCell ref="D129:N129"/>
    <mergeCell ref="D86:N86"/>
    <mergeCell ref="D131:D134"/>
    <mergeCell ref="D87:N87"/>
    <mergeCell ref="D46:D49"/>
    <mergeCell ref="D89:D92"/>
  </mergeCells>
  <phoneticPr fontId="0" type="noConversion"/>
  <pageMargins left="0" right="0" top="0" bottom="0" header="0.15748031496062992" footer="0.31496062992125984"/>
  <pageSetup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88"/>
  <sheetViews>
    <sheetView tabSelected="1" topLeftCell="C1" zoomScale="82" zoomScaleNormal="82" workbookViewId="0">
      <selection activeCell="D59" sqref="D59:L69"/>
    </sheetView>
  </sheetViews>
  <sheetFormatPr baseColWidth="10" defaultColWidth="11.44140625" defaultRowHeight="13.2" x14ac:dyDescent="0.25"/>
  <cols>
    <col min="1" max="1" width="4.6640625" style="13" customWidth="1"/>
    <col min="2" max="3" width="5.109375" style="13" customWidth="1"/>
    <col min="4" max="4" width="7.88671875" style="213" customWidth="1"/>
    <col min="5" max="5" width="48.44140625" style="13" customWidth="1"/>
    <col min="6" max="6" width="47.44140625" style="13" customWidth="1"/>
    <col min="7" max="7" width="5.88671875" style="13" customWidth="1"/>
    <col min="8" max="8" width="16" style="13" bestFit="1" customWidth="1"/>
    <col min="9" max="9" width="14.5546875" style="13" bestFit="1" customWidth="1"/>
    <col min="10" max="10" width="14" style="13" bestFit="1" customWidth="1"/>
    <col min="11" max="11" width="13.88671875" style="13" bestFit="1" customWidth="1"/>
    <col min="12" max="12" width="15.44140625" style="13" customWidth="1"/>
    <col min="13" max="13" width="90.44140625" style="13" customWidth="1"/>
    <col min="14" max="14" width="5.6640625" style="13" customWidth="1"/>
    <col min="15" max="15" width="12.33203125" style="13" bestFit="1" customWidth="1"/>
    <col min="16" max="16" width="12.88671875" style="13" bestFit="1" customWidth="1"/>
    <col min="17" max="16384" width="11.44140625" style="13"/>
  </cols>
  <sheetData>
    <row r="1" spans="2:17" ht="5.25" customHeight="1" x14ac:dyDescent="0.25">
      <c r="B1" s="32"/>
      <c r="C1" s="32"/>
      <c r="D1" s="230"/>
      <c r="E1" s="32"/>
      <c r="F1" s="32"/>
      <c r="G1" s="32"/>
      <c r="H1" s="32"/>
      <c r="I1" s="32"/>
      <c r="J1" s="32"/>
      <c r="K1" s="32"/>
      <c r="L1" s="32"/>
      <c r="M1" s="32"/>
    </row>
    <row r="2" spans="2:17" ht="15.75" customHeight="1" x14ac:dyDescent="0.25">
      <c r="B2" s="32"/>
      <c r="C2" s="32"/>
      <c r="D2" s="231"/>
      <c r="E2" s="40"/>
      <c r="F2" s="40"/>
      <c r="G2" s="40"/>
      <c r="H2" s="40"/>
      <c r="I2" s="40"/>
      <c r="J2" s="40"/>
      <c r="K2" s="40"/>
      <c r="L2" s="40"/>
      <c r="M2" s="41"/>
    </row>
    <row r="3" spans="2:17" ht="20.100000000000001" customHeight="1" x14ac:dyDescent="0.6">
      <c r="B3" s="32"/>
      <c r="C3" s="32"/>
      <c r="D3" s="592" t="s">
        <v>12</v>
      </c>
      <c r="E3" s="593"/>
      <c r="F3" s="593"/>
      <c r="G3" s="593"/>
      <c r="H3" s="593"/>
      <c r="I3" s="593"/>
      <c r="J3" s="593"/>
      <c r="K3" s="593"/>
      <c r="L3" s="593"/>
      <c r="M3" s="594"/>
    </row>
    <row r="4" spans="2:17" ht="20.100000000000001" customHeight="1" x14ac:dyDescent="0.6">
      <c r="B4" s="32"/>
      <c r="C4" s="32"/>
      <c r="D4" s="592" t="s">
        <v>138</v>
      </c>
      <c r="E4" s="593"/>
      <c r="F4" s="593"/>
      <c r="G4" s="593"/>
      <c r="H4" s="593"/>
      <c r="I4" s="593"/>
      <c r="J4" s="593"/>
      <c r="K4" s="593"/>
      <c r="L4" s="593"/>
      <c r="M4" s="594"/>
    </row>
    <row r="5" spans="2:17" ht="20.100000000000001" customHeight="1" x14ac:dyDescent="0.6">
      <c r="B5" s="32"/>
      <c r="C5" s="32"/>
      <c r="D5" s="592" t="s">
        <v>548</v>
      </c>
      <c r="E5" s="593"/>
      <c r="F5" s="593"/>
      <c r="G5" s="593"/>
      <c r="H5" s="593"/>
      <c r="I5" s="593"/>
      <c r="J5" s="593"/>
      <c r="K5" s="593"/>
      <c r="L5" s="593"/>
      <c r="M5" s="594"/>
    </row>
    <row r="6" spans="2:17" ht="21.75" customHeight="1" x14ac:dyDescent="0.6">
      <c r="B6" s="32"/>
      <c r="C6" s="32"/>
      <c r="D6" s="592" t="s">
        <v>123</v>
      </c>
      <c r="E6" s="593"/>
      <c r="F6" s="593"/>
      <c r="G6" s="593"/>
      <c r="H6" s="593"/>
      <c r="I6" s="593"/>
      <c r="J6" s="593"/>
      <c r="K6" s="593"/>
      <c r="L6" s="593"/>
      <c r="M6" s="594"/>
    </row>
    <row r="7" spans="2:17" x14ac:dyDescent="0.25">
      <c r="D7" s="292"/>
      <c r="E7" s="311"/>
      <c r="F7" s="311"/>
      <c r="G7" s="312"/>
      <c r="H7" s="313"/>
      <c r="I7" s="589"/>
      <c r="J7" s="590"/>
      <c r="K7" s="590"/>
      <c r="L7" s="590"/>
      <c r="M7" s="591"/>
    </row>
    <row r="8" spans="2:17" x14ac:dyDescent="0.25">
      <c r="D8" s="295" t="s">
        <v>3</v>
      </c>
      <c r="E8" s="314"/>
      <c r="F8" s="314"/>
      <c r="G8" s="314"/>
      <c r="H8" s="315" t="s">
        <v>1</v>
      </c>
      <c r="I8" s="316" t="s">
        <v>124</v>
      </c>
      <c r="J8" s="316" t="s">
        <v>128</v>
      </c>
      <c r="K8" s="316"/>
      <c r="L8" s="314" t="s">
        <v>134</v>
      </c>
      <c r="M8" s="314"/>
    </row>
    <row r="9" spans="2:17" ht="24" x14ac:dyDescent="0.25">
      <c r="D9" s="297"/>
      <c r="E9" s="315"/>
      <c r="F9" s="315" t="s">
        <v>10</v>
      </c>
      <c r="G9" s="317" t="s">
        <v>161</v>
      </c>
      <c r="H9" s="314" t="s">
        <v>126</v>
      </c>
      <c r="I9" s="315" t="s">
        <v>127</v>
      </c>
      <c r="J9" s="315" t="s">
        <v>129</v>
      </c>
      <c r="K9" s="315" t="s">
        <v>130</v>
      </c>
      <c r="L9" s="314" t="s">
        <v>133</v>
      </c>
      <c r="M9" s="314" t="s">
        <v>132</v>
      </c>
    </row>
    <row r="10" spans="2:17" ht="17.399999999999999" x14ac:dyDescent="0.3">
      <c r="D10" s="295"/>
      <c r="E10" s="318" t="s">
        <v>56</v>
      </c>
      <c r="F10" s="316" t="s">
        <v>9</v>
      </c>
      <c r="G10" s="316"/>
      <c r="H10" s="316"/>
      <c r="I10" s="316"/>
      <c r="J10" s="316"/>
      <c r="K10" s="316"/>
      <c r="L10" s="316"/>
      <c r="M10" s="316"/>
    </row>
    <row r="11" spans="2:17" ht="35.1" customHeight="1" x14ac:dyDescent="0.3">
      <c r="D11" s="334" t="s">
        <v>525</v>
      </c>
      <c r="E11" s="336" t="s">
        <v>56</v>
      </c>
      <c r="F11" s="337" t="s">
        <v>378</v>
      </c>
      <c r="G11" s="337">
        <v>15</v>
      </c>
      <c r="H11" s="338">
        <v>9178</v>
      </c>
      <c r="I11" s="338">
        <f>ROUND(H11/15*G11,2)</f>
        <v>9178</v>
      </c>
      <c r="J11" s="339">
        <f t="shared" ref="J11:J18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339">
        <f t="shared" ref="K11:K36" si="1"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1249.32</v>
      </c>
      <c r="L11" s="338">
        <f>I11+J11-K11</f>
        <v>7928.68</v>
      </c>
      <c r="M11" s="102"/>
      <c r="O11" s="338">
        <v>9178.3799999999992</v>
      </c>
      <c r="P11" s="42"/>
      <c r="Q11" s="43"/>
    </row>
    <row r="12" spans="2:17" ht="35.1" hidden="1" customHeight="1" x14ac:dyDescent="0.3">
      <c r="D12" s="335"/>
      <c r="E12" s="336" t="s">
        <v>56</v>
      </c>
      <c r="F12" s="337"/>
      <c r="G12" s="337"/>
      <c r="H12" s="338"/>
      <c r="I12" s="338"/>
      <c r="J12" s="339"/>
      <c r="K12" s="339"/>
      <c r="L12" s="338"/>
      <c r="M12" s="102"/>
      <c r="O12" s="338">
        <v>7452</v>
      </c>
      <c r="P12" s="42"/>
      <c r="Q12" s="43"/>
    </row>
    <row r="13" spans="2:17" ht="35.1" customHeight="1" x14ac:dyDescent="0.3">
      <c r="D13" s="335" t="s">
        <v>526</v>
      </c>
      <c r="E13" s="336" t="s">
        <v>56</v>
      </c>
      <c r="F13" s="337" t="s">
        <v>379</v>
      </c>
      <c r="G13" s="337">
        <v>15</v>
      </c>
      <c r="H13" s="338">
        <v>7245</v>
      </c>
      <c r="I13" s="338">
        <f t="shared" ref="I13:I40" si="2">ROUND(H13/15*G13,2)</f>
        <v>7245</v>
      </c>
      <c r="J13" s="339">
        <f t="shared" si="0"/>
        <v>0</v>
      </c>
      <c r="K13" s="339">
        <f t="shared" si="1"/>
        <v>836.43</v>
      </c>
      <c r="L13" s="338">
        <f>I13+J13-K13</f>
        <v>6408.57</v>
      </c>
      <c r="M13" s="102"/>
      <c r="O13" s="338">
        <v>7245</v>
      </c>
      <c r="P13" s="42"/>
      <c r="Q13" s="43"/>
    </row>
    <row r="14" spans="2:17" ht="35.1" customHeight="1" x14ac:dyDescent="0.3">
      <c r="D14" s="335" t="s">
        <v>527</v>
      </c>
      <c r="E14" s="336" t="s">
        <v>56</v>
      </c>
      <c r="F14" s="340" t="s">
        <v>150</v>
      </c>
      <c r="G14" s="337">
        <v>15</v>
      </c>
      <c r="H14" s="338">
        <v>5336</v>
      </c>
      <c r="I14" s="338">
        <f t="shared" si="2"/>
        <v>5336</v>
      </c>
      <c r="J14" s="339">
        <f t="shared" si="0"/>
        <v>0</v>
      </c>
      <c r="K14" s="339">
        <f t="shared" si="1"/>
        <v>475.68</v>
      </c>
      <c r="L14" s="338">
        <f t="shared" ref="L14:L27" si="3">I14+J14-K14</f>
        <v>4860.32</v>
      </c>
      <c r="M14" s="102"/>
      <c r="O14" s="338">
        <v>5336.46</v>
      </c>
      <c r="P14" s="42"/>
      <c r="Q14" s="43"/>
    </row>
    <row r="15" spans="2:17" ht="35.1" customHeight="1" x14ac:dyDescent="0.3">
      <c r="D15" s="335" t="s">
        <v>528</v>
      </c>
      <c r="E15" s="336" t="s">
        <v>56</v>
      </c>
      <c r="F15" s="337" t="s">
        <v>150</v>
      </c>
      <c r="G15" s="337">
        <v>15</v>
      </c>
      <c r="H15" s="338">
        <v>5336</v>
      </c>
      <c r="I15" s="338">
        <f t="shared" si="2"/>
        <v>5336</v>
      </c>
      <c r="J15" s="339">
        <v>0</v>
      </c>
      <c r="K15" s="339">
        <f t="shared" si="1"/>
        <v>475.68</v>
      </c>
      <c r="L15" s="338">
        <f t="shared" si="3"/>
        <v>4860.32</v>
      </c>
      <c r="M15" s="102"/>
      <c r="O15" s="338">
        <v>5156</v>
      </c>
      <c r="P15" s="42"/>
      <c r="Q15" s="43"/>
    </row>
    <row r="16" spans="2:17" ht="35.1" customHeight="1" x14ac:dyDescent="0.3">
      <c r="D16" s="335" t="s">
        <v>529</v>
      </c>
      <c r="E16" s="336" t="s">
        <v>56</v>
      </c>
      <c r="F16" s="342" t="s">
        <v>112</v>
      </c>
      <c r="G16" s="337">
        <v>15</v>
      </c>
      <c r="H16" s="338">
        <v>4538</v>
      </c>
      <c r="I16" s="338">
        <f t="shared" si="2"/>
        <v>4538</v>
      </c>
      <c r="J16" s="339">
        <f t="shared" si="0"/>
        <v>0</v>
      </c>
      <c r="K16" s="339">
        <f t="shared" si="1"/>
        <v>358.55</v>
      </c>
      <c r="L16" s="338">
        <f t="shared" si="3"/>
        <v>4179.45</v>
      </c>
      <c r="M16" s="102"/>
      <c r="O16" s="13">
        <v>4538.4749999999995</v>
      </c>
      <c r="P16" s="42"/>
      <c r="Q16" s="43"/>
    </row>
    <row r="17" spans="4:17" ht="35.1" customHeight="1" x14ac:dyDescent="0.3">
      <c r="D17" s="335" t="s">
        <v>252</v>
      </c>
      <c r="E17" s="336" t="s">
        <v>56</v>
      </c>
      <c r="F17" s="341" t="s">
        <v>57</v>
      </c>
      <c r="G17" s="337">
        <v>15</v>
      </c>
      <c r="H17" s="338">
        <v>4927</v>
      </c>
      <c r="I17" s="338">
        <f t="shared" si="2"/>
        <v>4927</v>
      </c>
      <c r="J17" s="339">
        <f t="shared" si="0"/>
        <v>0</v>
      </c>
      <c r="K17" s="339">
        <f t="shared" si="1"/>
        <v>410.24</v>
      </c>
      <c r="L17" s="338">
        <f t="shared" si="3"/>
        <v>4516.76</v>
      </c>
      <c r="M17" s="102"/>
      <c r="O17" s="13">
        <v>4926.5999999999995</v>
      </c>
      <c r="P17" s="42"/>
      <c r="Q17" s="43"/>
    </row>
    <row r="18" spans="4:17" ht="35.1" customHeight="1" x14ac:dyDescent="0.3">
      <c r="D18" s="335" t="s">
        <v>530</v>
      </c>
      <c r="E18" s="336" t="s">
        <v>56</v>
      </c>
      <c r="F18" s="341" t="s">
        <v>57</v>
      </c>
      <c r="G18" s="337">
        <v>15</v>
      </c>
      <c r="H18" s="338">
        <v>4927</v>
      </c>
      <c r="I18" s="338">
        <f t="shared" si="2"/>
        <v>4927</v>
      </c>
      <c r="J18" s="339">
        <f t="shared" si="0"/>
        <v>0</v>
      </c>
      <c r="K18" s="339">
        <f t="shared" si="1"/>
        <v>410.24</v>
      </c>
      <c r="L18" s="338">
        <f t="shared" si="3"/>
        <v>4516.76</v>
      </c>
      <c r="M18" s="102"/>
      <c r="O18" s="13">
        <v>4926.5999999999995</v>
      </c>
      <c r="P18" s="42"/>
      <c r="Q18" s="43"/>
    </row>
    <row r="19" spans="4:17" ht="35.1" customHeight="1" x14ac:dyDescent="0.3">
      <c r="D19" s="335" t="s">
        <v>254</v>
      </c>
      <c r="E19" s="336" t="s">
        <v>56</v>
      </c>
      <c r="F19" s="337" t="s">
        <v>57</v>
      </c>
      <c r="G19" s="337">
        <v>15</v>
      </c>
      <c r="H19" s="338">
        <v>4927</v>
      </c>
      <c r="I19" s="338">
        <f t="shared" si="2"/>
        <v>4927</v>
      </c>
      <c r="J19" s="339">
        <f t="shared" ref="J19:J27" si="4"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339">
        <f t="shared" si="1"/>
        <v>410.24</v>
      </c>
      <c r="L19" s="338">
        <f t="shared" si="3"/>
        <v>4516.76</v>
      </c>
      <c r="M19" s="103"/>
      <c r="O19" s="13">
        <v>4926.5999999999995</v>
      </c>
      <c r="P19" s="42"/>
      <c r="Q19" s="43"/>
    </row>
    <row r="20" spans="4:17" ht="35.1" customHeight="1" x14ac:dyDescent="0.3">
      <c r="D20" s="344" t="s">
        <v>531</v>
      </c>
      <c r="E20" s="336" t="s">
        <v>56</v>
      </c>
      <c r="F20" s="341" t="s">
        <v>57</v>
      </c>
      <c r="G20" s="337">
        <v>15</v>
      </c>
      <c r="H20" s="338">
        <v>4927</v>
      </c>
      <c r="I20" s="338">
        <f t="shared" si="2"/>
        <v>4927</v>
      </c>
      <c r="J20" s="339">
        <f t="shared" si="4"/>
        <v>0</v>
      </c>
      <c r="K20" s="339">
        <f t="shared" si="1"/>
        <v>410.24</v>
      </c>
      <c r="L20" s="338">
        <f t="shared" si="3"/>
        <v>4516.76</v>
      </c>
      <c r="M20" s="103"/>
      <c r="O20" s="13">
        <v>4926.5999999999995</v>
      </c>
      <c r="P20" s="42"/>
      <c r="Q20" s="43"/>
    </row>
    <row r="21" spans="4:17" ht="33" customHeight="1" x14ac:dyDescent="0.3">
      <c r="D21" s="344" t="s">
        <v>255</v>
      </c>
      <c r="E21" s="336" t="s">
        <v>56</v>
      </c>
      <c r="F21" s="337" t="s">
        <v>57</v>
      </c>
      <c r="G21" s="337">
        <v>15</v>
      </c>
      <c r="H21" s="338">
        <v>4927</v>
      </c>
      <c r="I21" s="338">
        <f t="shared" si="2"/>
        <v>4927</v>
      </c>
      <c r="J21" s="339">
        <f t="shared" si="4"/>
        <v>0</v>
      </c>
      <c r="K21" s="339">
        <f t="shared" si="1"/>
        <v>410.24</v>
      </c>
      <c r="L21" s="338">
        <f t="shared" si="3"/>
        <v>4516.76</v>
      </c>
      <c r="M21" s="103"/>
      <c r="O21" s="13">
        <v>4926.5999999999995</v>
      </c>
      <c r="P21" s="42"/>
      <c r="Q21" s="43"/>
    </row>
    <row r="22" spans="4:17" ht="34.5" hidden="1" customHeight="1" x14ac:dyDescent="0.3">
      <c r="D22" s="344"/>
      <c r="E22" s="336" t="s">
        <v>56</v>
      </c>
      <c r="F22" s="337"/>
      <c r="G22" s="337"/>
      <c r="H22" s="338">
        <v>4927</v>
      </c>
      <c r="I22" s="338">
        <f t="shared" si="2"/>
        <v>0</v>
      </c>
      <c r="J22" s="339"/>
      <c r="K22" s="339">
        <f t="shared" si="1"/>
        <v>0</v>
      </c>
      <c r="L22" s="338"/>
      <c r="M22" s="103"/>
      <c r="O22" s="13">
        <v>0</v>
      </c>
      <c r="P22" s="42"/>
      <c r="Q22" s="43"/>
    </row>
    <row r="23" spans="4:17" ht="35.1" hidden="1" customHeight="1" x14ac:dyDescent="0.3">
      <c r="D23" s="344"/>
      <c r="E23" s="336" t="s">
        <v>56</v>
      </c>
      <c r="F23" s="337"/>
      <c r="G23" s="337"/>
      <c r="H23" s="338"/>
      <c r="I23" s="338"/>
      <c r="J23" s="339"/>
      <c r="K23" s="339"/>
      <c r="L23" s="338"/>
      <c r="M23" s="103"/>
      <c r="O23" s="13">
        <v>4926.5999999999995</v>
      </c>
      <c r="P23" s="42"/>
      <c r="Q23" s="43"/>
    </row>
    <row r="24" spans="4:17" ht="35.1" customHeight="1" x14ac:dyDescent="0.3">
      <c r="D24" s="344" t="s">
        <v>256</v>
      </c>
      <c r="E24" s="336" t="s">
        <v>56</v>
      </c>
      <c r="F24" s="337" t="s">
        <v>57</v>
      </c>
      <c r="G24" s="337">
        <v>15</v>
      </c>
      <c r="H24" s="338">
        <v>4927</v>
      </c>
      <c r="I24" s="338">
        <f t="shared" si="2"/>
        <v>4927</v>
      </c>
      <c r="J24" s="339">
        <f t="shared" si="4"/>
        <v>0</v>
      </c>
      <c r="K24" s="339">
        <f t="shared" si="1"/>
        <v>410.24</v>
      </c>
      <c r="L24" s="338">
        <f t="shared" si="3"/>
        <v>4516.76</v>
      </c>
      <c r="M24" s="103"/>
      <c r="O24" s="13">
        <v>4926.5999999999995</v>
      </c>
      <c r="P24" s="42"/>
      <c r="Q24" s="43"/>
    </row>
    <row r="25" spans="4:17" ht="35.1" customHeight="1" x14ac:dyDescent="0.3">
      <c r="D25" s="344" t="s">
        <v>271</v>
      </c>
      <c r="E25" s="336" t="s">
        <v>56</v>
      </c>
      <c r="F25" s="337" t="s">
        <v>57</v>
      </c>
      <c r="G25" s="337">
        <v>15</v>
      </c>
      <c r="H25" s="338">
        <v>4927</v>
      </c>
      <c r="I25" s="338">
        <f t="shared" si="2"/>
        <v>4927</v>
      </c>
      <c r="J25" s="339">
        <f t="shared" si="4"/>
        <v>0</v>
      </c>
      <c r="K25" s="339">
        <f t="shared" si="1"/>
        <v>410.24</v>
      </c>
      <c r="L25" s="338">
        <f t="shared" si="3"/>
        <v>4516.76</v>
      </c>
      <c r="M25" s="103"/>
      <c r="N25" s="26"/>
      <c r="O25" s="13">
        <v>4926.5999999999995</v>
      </c>
      <c r="P25" s="42"/>
      <c r="Q25" s="43"/>
    </row>
    <row r="26" spans="4:17" ht="35.1" customHeight="1" x14ac:dyDescent="0.3">
      <c r="D26" s="344" t="s">
        <v>532</v>
      </c>
      <c r="E26" s="336" t="s">
        <v>56</v>
      </c>
      <c r="F26" s="337" t="s">
        <v>57</v>
      </c>
      <c r="G26" s="337">
        <v>15</v>
      </c>
      <c r="H26" s="338">
        <v>4927</v>
      </c>
      <c r="I26" s="338">
        <f t="shared" si="2"/>
        <v>4927</v>
      </c>
      <c r="J26" s="339">
        <f t="shared" si="4"/>
        <v>0</v>
      </c>
      <c r="K26" s="339">
        <f t="shared" si="1"/>
        <v>410.24</v>
      </c>
      <c r="L26" s="338">
        <f t="shared" si="3"/>
        <v>4516.76</v>
      </c>
      <c r="M26" s="237"/>
      <c r="N26" s="26"/>
      <c r="O26" s="13">
        <v>4926.5999999999995</v>
      </c>
      <c r="P26" s="42"/>
      <c r="Q26" s="43"/>
    </row>
    <row r="27" spans="4:17" ht="35.1" customHeight="1" x14ac:dyDescent="0.3">
      <c r="D27" s="344" t="s">
        <v>272</v>
      </c>
      <c r="E27" s="336" t="s">
        <v>56</v>
      </c>
      <c r="F27" s="337" t="s">
        <v>57</v>
      </c>
      <c r="G27" s="337">
        <v>15</v>
      </c>
      <c r="H27" s="338">
        <v>4927</v>
      </c>
      <c r="I27" s="338">
        <f t="shared" si="2"/>
        <v>4927</v>
      </c>
      <c r="J27" s="339">
        <f t="shared" si="4"/>
        <v>0</v>
      </c>
      <c r="K27" s="339">
        <f t="shared" si="1"/>
        <v>410.24</v>
      </c>
      <c r="L27" s="338">
        <f t="shared" si="3"/>
        <v>4516.76</v>
      </c>
      <c r="M27" s="237"/>
      <c r="N27" s="26"/>
      <c r="O27" s="13">
        <v>4926.5999999999995</v>
      </c>
      <c r="P27" s="42"/>
      <c r="Q27" s="43"/>
    </row>
    <row r="28" spans="4:17" ht="35.1" customHeight="1" x14ac:dyDescent="0.3">
      <c r="D28" s="344" t="s">
        <v>533</v>
      </c>
      <c r="E28" s="336" t="s">
        <v>56</v>
      </c>
      <c r="F28" s="337" t="s">
        <v>57</v>
      </c>
      <c r="G28" s="337">
        <v>15</v>
      </c>
      <c r="H28" s="338">
        <v>4927</v>
      </c>
      <c r="I28" s="338">
        <f t="shared" si="2"/>
        <v>4927</v>
      </c>
      <c r="J28" s="339">
        <v>0</v>
      </c>
      <c r="K28" s="339">
        <f t="shared" si="1"/>
        <v>410.24</v>
      </c>
      <c r="L28" s="338">
        <f t="shared" ref="L28:L30" si="5">I28+J28-K28</f>
        <v>4516.76</v>
      </c>
      <c r="M28" s="237"/>
      <c r="N28" s="26"/>
      <c r="O28" s="13">
        <v>4926.5999999999995</v>
      </c>
      <c r="P28" s="42"/>
      <c r="Q28" s="43"/>
    </row>
    <row r="29" spans="4:17" ht="35.1" customHeight="1" x14ac:dyDescent="0.3">
      <c r="D29" s="344" t="s">
        <v>534</v>
      </c>
      <c r="E29" s="336" t="s">
        <v>56</v>
      </c>
      <c r="F29" s="337" t="s">
        <v>57</v>
      </c>
      <c r="G29" s="337">
        <v>15</v>
      </c>
      <c r="H29" s="338">
        <v>4927</v>
      </c>
      <c r="I29" s="338">
        <f t="shared" si="2"/>
        <v>4927</v>
      </c>
      <c r="J29" s="339">
        <v>0</v>
      </c>
      <c r="K29" s="339">
        <f t="shared" si="1"/>
        <v>410.24</v>
      </c>
      <c r="L29" s="338">
        <f t="shared" si="5"/>
        <v>4516.76</v>
      </c>
      <c r="M29" s="237"/>
      <c r="N29" s="26"/>
      <c r="O29" s="13">
        <v>4926.5999999999995</v>
      </c>
      <c r="P29" s="42"/>
      <c r="Q29" s="43"/>
    </row>
    <row r="30" spans="4:17" ht="35.1" customHeight="1" x14ac:dyDescent="0.3">
      <c r="D30" s="344" t="s">
        <v>535</v>
      </c>
      <c r="E30" s="336" t="s">
        <v>56</v>
      </c>
      <c r="F30" s="337" t="s">
        <v>57</v>
      </c>
      <c r="G30" s="337">
        <v>15</v>
      </c>
      <c r="H30" s="338">
        <v>4927</v>
      </c>
      <c r="I30" s="338">
        <f t="shared" si="2"/>
        <v>4927</v>
      </c>
      <c r="J30" s="339"/>
      <c r="K30" s="339">
        <f t="shared" si="1"/>
        <v>410.24</v>
      </c>
      <c r="L30" s="338">
        <f t="shared" si="5"/>
        <v>4516.76</v>
      </c>
      <c r="M30" s="237"/>
      <c r="N30" s="26"/>
      <c r="O30" s="13">
        <v>4926.5999999999995</v>
      </c>
      <c r="P30" s="42"/>
      <c r="Q30" s="43"/>
    </row>
    <row r="31" spans="4:17" ht="35.1" customHeight="1" x14ac:dyDescent="0.3">
      <c r="D31" s="344" t="s">
        <v>536</v>
      </c>
      <c r="E31" s="336" t="s">
        <v>56</v>
      </c>
      <c r="F31" s="337" t="s">
        <v>57</v>
      </c>
      <c r="G31" s="337">
        <v>15</v>
      </c>
      <c r="H31" s="338">
        <v>4927</v>
      </c>
      <c r="I31" s="338">
        <f t="shared" si="2"/>
        <v>4927</v>
      </c>
      <c r="J31" s="339"/>
      <c r="K31" s="339">
        <f t="shared" si="1"/>
        <v>410.24</v>
      </c>
      <c r="L31" s="338">
        <f t="shared" ref="L31:L33" si="6">I31+J31-K31</f>
        <v>4516.76</v>
      </c>
      <c r="M31" s="237"/>
      <c r="N31" s="26"/>
      <c r="O31" s="13">
        <v>4926.5999999999995</v>
      </c>
      <c r="P31" s="42"/>
      <c r="Q31" s="43"/>
    </row>
    <row r="32" spans="4:17" ht="35.1" customHeight="1" x14ac:dyDescent="0.3">
      <c r="D32" s="344" t="s">
        <v>537</v>
      </c>
      <c r="E32" s="336" t="s">
        <v>56</v>
      </c>
      <c r="F32" s="337" t="s">
        <v>57</v>
      </c>
      <c r="G32" s="337">
        <v>15</v>
      </c>
      <c r="H32" s="338">
        <v>4927</v>
      </c>
      <c r="I32" s="338">
        <f t="shared" si="2"/>
        <v>4927</v>
      </c>
      <c r="J32" s="339">
        <f t="shared" ref="J32:J36" si="7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39">
        <f t="shared" si="1"/>
        <v>410.24</v>
      </c>
      <c r="L32" s="338">
        <f t="shared" si="6"/>
        <v>4516.76</v>
      </c>
      <c r="M32" s="237"/>
      <c r="N32" s="26"/>
      <c r="O32" s="13">
        <v>4926.5999999999995</v>
      </c>
      <c r="P32" s="42"/>
      <c r="Q32" s="43"/>
    </row>
    <row r="33" spans="4:17" ht="35.1" customHeight="1" x14ac:dyDescent="0.3">
      <c r="D33" s="344" t="s">
        <v>538</v>
      </c>
      <c r="E33" s="336" t="s">
        <v>56</v>
      </c>
      <c r="F33" s="337" t="s">
        <v>57</v>
      </c>
      <c r="G33" s="337">
        <v>15</v>
      </c>
      <c r="H33" s="338">
        <v>4927</v>
      </c>
      <c r="I33" s="338">
        <f t="shared" si="2"/>
        <v>4927</v>
      </c>
      <c r="J33" s="339">
        <f t="shared" si="7"/>
        <v>0</v>
      </c>
      <c r="K33" s="339">
        <f t="shared" si="1"/>
        <v>410.24</v>
      </c>
      <c r="L33" s="338">
        <f t="shared" si="6"/>
        <v>4516.76</v>
      </c>
      <c r="M33" s="237"/>
      <c r="N33" s="26"/>
      <c r="O33" s="13">
        <v>4926.5999999999995</v>
      </c>
      <c r="P33" s="42"/>
      <c r="Q33" s="43"/>
    </row>
    <row r="34" spans="4:17" ht="35.1" customHeight="1" x14ac:dyDescent="0.3">
      <c r="D34" s="344" t="s">
        <v>539</v>
      </c>
      <c r="E34" s="336" t="s">
        <v>56</v>
      </c>
      <c r="F34" s="337" t="s">
        <v>57</v>
      </c>
      <c r="G34" s="337">
        <v>15</v>
      </c>
      <c r="H34" s="338">
        <v>4927</v>
      </c>
      <c r="I34" s="338">
        <f t="shared" si="2"/>
        <v>4927</v>
      </c>
      <c r="J34" s="339">
        <f t="shared" si="7"/>
        <v>0</v>
      </c>
      <c r="K34" s="339">
        <f t="shared" si="1"/>
        <v>410.24</v>
      </c>
      <c r="L34" s="338">
        <f t="shared" ref="L34:L36" si="8">I34+J34-K34</f>
        <v>4516.76</v>
      </c>
      <c r="M34" s="237"/>
      <c r="N34" s="26"/>
      <c r="O34" s="13">
        <v>4926.5999999999995</v>
      </c>
      <c r="P34" s="42"/>
      <c r="Q34" s="43"/>
    </row>
    <row r="35" spans="4:17" ht="35.1" customHeight="1" x14ac:dyDescent="0.3">
      <c r="D35" s="344" t="s">
        <v>540</v>
      </c>
      <c r="E35" s="336" t="s">
        <v>56</v>
      </c>
      <c r="F35" s="337" t="s">
        <v>57</v>
      </c>
      <c r="G35" s="337">
        <v>15</v>
      </c>
      <c r="H35" s="338">
        <v>4927</v>
      </c>
      <c r="I35" s="338">
        <f t="shared" si="2"/>
        <v>4927</v>
      </c>
      <c r="J35" s="339">
        <f t="shared" si="7"/>
        <v>0</v>
      </c>
      <c r="K35" s="339">
        <f t="shared" si="1"/>
        <v>410.24</v>
      </c>
      <c r="L35" s="338">
        <f t="shared" si="8"/>
        <v>4516.76</v>
      </c>
      <c r="M35" s="237"/>
      <c r="N35" s="26"/>
      <c r="O35" s="13">
        <v>4926.5999999999995</v>
      </c>
      <c r="P35" s="42"/>
      <c r="Q35" s="43"/>
    </row>
    <row r="36" spans="4:17" ht="35.1" customHeight="1" x14ac:dyDescent="0.3">
      <c r="D36" s="344" t="s">
        <v>541</v>
      </c>
      <c r="E36" s="336" t="s">
        <v>56</v>
      </c>
      <c r="F36" s="337" t="s">
        <v>57</v>
      </c>
      <c r="G36" s="337">
        <v>15</v>
      </c>
      <c r="H36" s="338">
        <v>4927</v>
      </c>
      <c r="I36" s="338">
        <f t="shared" si="2"/>
        <v>4927</v>
      </c>
      <c r="J36" s="339">
        <f t="shared" si="7"/>
        <v>0</v>
      </c>
      <c r="K36" s="339">
        <f t="shared" si="1"/>
        <v>410.24</v>
      </c>
      <c r="L36" s="338">
        <f t="shared" si="8"/>
        <v>4516.76</v>
      </c>
      <c r="M36" s="237"/>
      <c r="N36" s="26"/>
      <c r="O36" s="13">
        <v>4926.5999999999995</v>
      </c>
      <c r="P36" s="42"/>
      <c r="Q36" s="43"/>
    </row>
    <row r="37" spans="4:17" ht="35.1" customHeight="1" x14ac:dyDescent="0.3">
      <c r="D37" s="344"/>
      <c r="E37" s="336" t="s">
        <v>56</v>
      </c>
      <c r="F37" s="337" t="s">
        <v>57</v>
      </c>
      <c r="G37" s="337">
        <v>15</v>
      </c>
      <c r="H37" s="338">
        <v>4927</v>
      </c>
      <c r="I37" s="338">
        <f t="shared" ref="I37" si="9">ROUND(H37/15*G37,2)</f>
        <v>4927</v>
      </c>
      <c r="J37" s="339">
        <f t="shared" ref="J37" si="10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339">
        <f t="shared" ref="K37" si="11">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</f>
        <v>410.24</v>
      </c>
      <c r="L37" s="338">
        <f t="shared" ref="L37" si="12">I37+J37-K37</f>
        <v>4516.76</v>
      </c>
      <c r="M37" s="237"/>
      <c r="N37" s="26"/>
      <c r="P37" s="42"/>
      <c r="Q37" s="43"/>
    </row>
    <row r="38" spans="4:17" ht="35.1" customHeight="1" x14ac:dyDescent="0.3">
      <c r="D38" s="344"/>
      <c r="E38" s="345" t="s">
        <v>392</v>
      </c>
      <c r="F38" s="337"/>
      <c r="G38" s="337"/>
      <c r="H38" s="338"/>
      <c r="I38" s="338"/>
      <c r="J38" s="339"/>
      <c r="K38" s="339"/>
      <c r="L38" s="338"/>
      <c r="M38" s="237"/>
      <c r="N38" s="26"/>
      <c r="O38" s="13">
        <v>0</v>
      </c>
      <c r="P38" s="42"/>
      <c r="Q38" s="43"/>
    </row>
    <row r="39" spans="4:17" ht="35.1" customHeight="1" x14ac:dyDescent="0.3">
      <c r="D39" s="344" t="s">
        <v>253</v>
      </c>
      <c r="E39" s="343" t="s">
        <v>56</v>
      </c>
      <c r="F39" s="341" t="s">
        <v>393</v>
      </c>
      <c r="G39" s="337">
        <v>15</v>
      </c>
      <c r="H39" s="338">
        <v>4045</v>
      </c>
      <c r="I39" s="338">
        <f t="shared" si="2"/>
        <v>4045</v>
      </c>
      <c r="J39" s="339">
        <f t="shared" ref="J39:J40" si="13"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339">
        <f>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</f>
        <v>304.91000000000003</v>
      </c>
      <c r="L39" s="338">
        <f t="shared" ref="L39:L40" si="14">I39+J39-K39</f>
        <v>3740.09</v>
      </c>
      <c r="M39" s="237"/>
      <c r="N39" s="26"/>
      <c r="O39" s="13">
        <v>4044.7799999999997</v>
      </c>
      <c r="P39" s="42"/>
      <c r="Q39" s="43"/>
    </row>
    <row r="40" spans="4:17" ht="35.1" customHeight="1" x14ac:dyDescent="0.3">
      <c r="D40" s="344" t="s">
        <v>377</v>
      </c>
      <c r="E40" s="341" t="s">
        <v>56</v>
      </c>
      <c r="F40" s="337" t="s">
        <v>282</v>
      </c>
      <c r="G40" s="337">
        <v>15</v>
      </c>
      <c r="H40" s="346">
        <v>4045</v>
      </c>
      <c r="I40" s="338">
        <f t="shared" si="2"/>
        <v>4045</v>
      </c>
      <c r="J40" s="347">
        <f t="shared" si="13"/>
        <v>0</v>
      </c>
      <c r="K40" s="339">
        <f>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</f>
        <v>304.91000000000003</v>
      </c>
      <c r="L40" s="346">
        <f t="shared" si="14"/>
        <v>3740.09</v>
      </c>
      <c r="M40" s="24"/>
      <c r="O40" s="13">
        <v>4044.7799999999997</v>
      </c>
      <c r="P40" s="42"/>
    </row>
    <row r="41" spans="4:17" ht="26.1" customHeight="1" thickBot="1" x14ac:dyDescent="0.35">
      <c r="D41" s="526" t="s">
        <v>61</v>
      </c>
      <c r="E41" s="527"/>
      <c r="F41" s="527"/>
      <c r="G41" s="258"/>
      <c r="H41" s="320">
        <f>H40+H39+H37+H36+H35+H34+H33+H32+H31+H30+H29+H28+H27+H26+H25+H24+H21+H20+H19+H18+H17+H16+H15+H14+H13+H11</f>
        <v>133336</v>
      </c>
      <c r="I41" s="320">
        <f t="shared" ref="I41:L41" si="15">I40+I39+I37+I36+I35+I34+I33+I32+I31+I30+I29+I28+I27+I26+I25+I24+I21+I20+I19+I18+I17+I16+I15+I14+I13+I11</f>
        <v>133336</v>
      </c>
      <c r="J41" s="320">
        <f t="shared" si="15"/>
        <v>0</v>
      </c>
      <c r="K41" s="320">
        <f t="shared" si="15"/>
        <v>11800.039999999997</v>
      </c>
      <c r="L41" s="320">
        <f t="shared" si="15"/>
        <v>121535.95999999999</v>
      </c>
      <c r="M41" s="319"/>
      <c r="P41" s="42"/>
      <c r="Q41" s="43"/>
    </row>
    <row r="42" spans="4:17" ht="13.8" thickTop="1" x14ac:dyDescent="0.25">
      <c r="H42" s="34"/>
      <c r="P42" s="42"/>
    </row>
    <row r="43" spans="4:17" x14ac:dyDescent="0.25">
      <c r="P43" s="42"/>
    </row>
    <row r="44" spans="4:17" x14ac:dyDescent="0.25">
      <c r="P44" s="42"/>
    </row>
    <row r="45" spans="4:17" x14ac:dyDescent="0.25">
      <c r="E45" s="27" t="s">
        <v>99</v>
      </c>
      <c r="H45" s="27"/>
      <c r="I45" s="27"/>
      <c r="J45" s="27"/>
      <c r="K45" s="27"/>
      <c r="L45" s="52"/>
      <c r="M45" s="52"/>
      <c r="P45" s="42"/>
    </row>
    <row r="46" spans="4:17" x14ac:dyDescent="0.25">
      <c r="E46" s="26" t="s">
        <v>402</v>
      </c>
      <c r="L46" s="549" t="s">
        <v>406</v>
      </c>
      <c r="M46" s="549"/>
      <c r="P46" s="42"/>
    </row>
    <row r="47" spans="4:17" x14ac:dyDescent="0.25">
      <c r="E47" s="27" t="s">
        <v>11</v>
      </c>
      <c r="F47" s="27"/>
      <c r="G47" s="27"/>
      <c r="H47" s="27"/>
      <c r="I47" s="27"/>
      <c r="J47" s="27"/>
      <c r="K47" s="27"/>
      <c r="L47" s="550" t="s">
        <v>135</v>
      </c>
      <c r="M47" s="550"/>
      <c r="P47" s="42"/>
    </row>
    <row r="48" spans="4:17" x14ac:dyDescent="0.25">
      <c r="H48" s="57">
        <f>SUM(H11:H40)</f>
        <v>138263</v>
      </c>
      <c r="I48" s="57">
        <f>SUM(I11:I40)</f>
        <v>133336</v>
      </c>
      <c r="J48" s="57">
        <f>SUM(J11:J40)</f>
        <v>0</v>
      </c>
      <c r="K48" s="57">
        <f>SUM(K11:K40)</f>
        <v>11800.039999999995</v>
      </c>
      <c r="L48" s="57">
        <f>SUM(L11:L40)</f>
        <v>121535.95999999995</v>
      </c>
      <c r="M48" s="42"/>
      <c r="P48" s="42"/>
    </row>
    <row r="49" spans="4:17" x14ac:dyDescent="0.25">
      <c r="M49" s="42"/>
    </row>
    <row r="50" spans="4:17" x14ac:dyDescent="0.25">
      <c r="M50" s="42"/>
    </row>
    <row r="51" spans="4:17" x14ac:dyDescent="0.25">
      <c r="M51" s="42"/>
    </row>
    <row r="52" spans="4:17" ht="17.399999999999999" x14ac:dyDescent="0.3">
      <c r="D52" s="603"/>
      <c r="E52" s="603"/>
      <c r="F52" s="603"/>
      <c r="G52" s="603"/>
      <c r="H52" s="603"/>
      <c r="I52" s="603"/>
      <c r="J52" s="603"/>
      <c r="K52" s="603"/>
      <c r="L52" s="603"/>
      <c r="M52" s="603"/>
    </row>
    <row r="53" spans="4:17" ht="35.1" customHeight="1" x14ac:dyDescent="0.6">
      <c r="D53" s="595" t="s">
        <v>553</v>
      </c>
      <c r="E53" s="596"/>
      <c r="F53" s="596"/>
      <c r="G53" s="596"/>
      <c r="H53" s="596"/>
      <c r="I53" s="596"/>
      <c r="J53" s="596"/>
      <c r="K53" s="596"/>
      <c r="L53" s="596"/>
      <c r="M53" s="597"/>
    </row>
    <row r="54" spans="4:17" ht="24.75" customHeight="1" x14ac:dyDescent="0.6">
      <c r="D54" s="592" t="str">
        <f>D5</f>
        <v>NOMINA 1RA QUINCENA DE ENERO DE  2022</v>
      </c>
      <c r="E54" s="593"/>
      <c r="F54" s="593"/>
      <c r="G54" s="593"/>
      <c r="H54" s="593"/>
      <c r="I54" s="593"/>
      <c r="J54" s="593"/>
      <c r="K54" s="593"/>
      <c r="L54" s="593"/>
      <c r="M54" s="594"/>
    </row>
    <row r="55" spans="4:17" ht="28.5" customHeight="1" x14ac:dyDescent="0.6">
      <c r="D55" s="600" t="s">
        <v>171</v>
      </c>
      <c r="E55" s="601"/>
      <c r="F55" s="601"/>
      <c r="G55" s="601"/>
      <c r="H55" s="601"/>
      <c r="I55" s="601"/>
      <c r="J55" s="601"/>
      <c r="K55" s="601"/>
      <c r="L55" s="601"/>
      <c r="M55" s="602"/>
    </row>
    <row r="56" spans="4:17" x14ac:dyDescent="0.25">
      <c r="D56" s="292"/>
      <c r="E56" s="311"/>
      <c r="F56" s="311"/>
      <c r="G56" s="312"/>
      <c r="H56" s="313"/>
      <c r="I56" s="589"/>
      <c r="J56" s="590"/>
      <c r="K56" s="590"/>
      <c r="L56" s="590"/>
      <c r="M56" s="591"/>
    </row>
    <row r="57" spans="4:17" x14ac:dyDescent="0.25">
      <c r="D57" s="297" t="s">
        <v>3</v>
      </c>
      <c r="E57" s="314"/>
      <c r="F57" s="314"/>
      <c r="G57" s="314"/>
      <c r="H57" s="315" t="s">
        <v>1</v>
      </c>
      <c r="I57" s="316" t="s">
        <v>124</v>
      </c>
      <c r="J57" s="316" t="s">
        <v>128</v>
      </c>
      <c r="K57" s="316"/>
      <c r="L57" s="314" t="s">
        <v>134</v>
      </c>
      <c r="M57" s="314"/>
    </row>
    <row r="58" spans="4:17" x14ac:dyDescent="0.25">
      <c r="D58" s="297"/>
      <c r="E58" s="315"/>
      <c r="F58" s="315" t="s">
        <v>10</v>
      </c>
      <c r="G58" s="314"/>
      <c r="H58" s="314" t="s">
        <v>126</v>
      </c>
      <c r="I58" s="315" t="s">
        <v>127</v>
      </c>
      <c r="J58" s="315" t="s">
        <v>129</v>
      </c>
      <c r="K58" s="315" t="s">
        <v>130</v>
      </c>
      <c r="L58" s="314" t="s">
        <v>133</v>
      </c>
      <c r="M58" s="314" t="s">
        <v>132</v>
      </c>
    </row>
    <row r="59" spans="4:17" x14ac:dyDescent="0.25">
      <c r="D59" s="299"/>
      <c r="E59" s="316" t="s">
        <v>171</v>
      </c>
      <c r="F59" s="316" t="s">
        <v>9</v>
      </c>
      <c r="G59" s="316" t="s">
        <v>139</v>
      </c>
      <c r="H59" s="316"/>
      <c r="I59" s="316"/>
      <c r="J59" s="316"/>
      <c r="K59" s="316"/>
      <c r="L59" s="316"/>
      <c r="M59" s="316"/>
    </row>
    <row r="60" spans="4:17" x14ac:dyDescent="0.25">
      <c r="F60" s="73"/>
      <c r="G60" s="73"/>
      <c r="H60" s="73"/>
      <c r="I60" s="73"/>
      <c r="J60" s="73"/>
      <c r="K60" s="73"/>
      <c r="L60" s="73"/>
      <c r="M60" s="73"/>
    </row>
    <row r="61" spans="4:17" x14ac:dyDescent="0.25">
      <c r="F61" s="34"/>
      <c r="G61" s="34"/>
      <c r="H61" s="34"/>
      <c r="I61" s="34"/>
      <c r="J61" s="34"/>
      <c r="K61" s="34"/>
      <c r="L61" s="34"/>
      <c r="M61" s="34"/>
    </row>
    <row r="62" spans="4:17" ht="48" customHeight="1" x14ac:dyDescent="0.3">
      <c r="D62" s="334" t="s">
        <v>542</v>
      </c>
      <c r="E62" s="348" t="s">
        <v>350</v>
      </c>
      <c r="F62" s="337" t="s">
        <v>351</v>
      </c>
      <c r="G62" s="337">
        <v>15</v>
      </c>
      <c r="H62" s="339">
        <v>4489</v>
      </c>
      <c r="I62" s="338">
        <f t="shared" ref="I62:I69" si="16">ROUND(H62/15*G62,2)</f>
        <v>4489</v>
      </c>
      <c r="J62" s="339">
        <f t="shared" ref="J62:J69" si="17"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339">
        <f t="shared" ref="K62:K69" si="18"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353.22</v>
      </c>
      <c r="L62" s="338">
        <f t="shared" ref="L62:L68" si="19">I62-K62</f>
        <v>4135.78</v>
      </c>
      <c r="M62" s="338"/>
      <c r="O62" s="13">
        <v>4488.7950000000001</v>
      </c>
      <c r="P62" s="42"/>
      <c r="Q62" s="43"/>
    </row>
    <row r="63" spans="4:17" ht="48" customHeight="1" x14ac:dyDescent="0.3">
      <c r="D63" s="349" t="s">
        <v>543</v>
      </c>
      <c r="E63" s="337" t="s">
        <v>353</v>
      </c>
      <c r="F63" s="337" t="s">
        <v>352</v>
      </c>
      <c r="G63" s="337">
        <v>15</v>
      </c>
      <c r="H63" s="338">
        <v>4024</v>
      </c>
      <c r="I63" s="338">
        <f t="shared" si="16"/>
        <v>4024</v>
      </c>
      <c r="J63" s="339">
        <f t="shared" si="17"/>
        <v>0</v>
      </c>
      <c r="K63" s="339">
        <f t="shared" si="18"/>
        <v>302.63</v>
      </c>
      <c r="L63" s="338">
        <f t="shared" si="19"/>
        <v>3721.37</v>
      </c>
      <c r="M63" s="338"/>
      <c r="O63" s="13">
        <v>4024.0799999999995</v>
      </c>
      <c r="P63" s="42"/>
      <c r="Q63" s="43"/>
    </row>
    <row r="64" spans="4:17" ht="48" customHeight="1" x14ac:dyDescent="0.3">
      <c r="D64" s="349"/>
      <c r="E64" s="337" t="s">
        <v>550</v>
      </c>
      <c r="F64" s="337" t="s">
        <v>552</v>
      </c>
      <c r="G64" s="337">
        <v>15</v>
      </c>
      <c r="H64" s="338">
        <v>3300</v>
      </c>
      <c r="I64" s="338">
        <f t="shared" ref="I64" si="20">ROUND(H64/15*G64,2)</f>
        <v>3300</v>
      </c>
      <c r="J64" s="339">
        <f t="shared" ref="J64" si="21"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339">
        <f t="shared" ref="K64" si="22"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98.75</v>
      </c>
      <c r="L64" s="338">
        <f t="shared" ref="L64" si="23">I64-K64</f>
        <v>3201.25</v>
      </c>
      <c r="M64" s="338"/>
      <c r="P64" s="42"/>
      <c r="Q64" s="43"/>
    </row>
    <row r="65" spans="4:17" ht="48" customHeight="1" x14ac:dyDescent="0.3">
      <c r="D65" s="350" t="s">
        <v>257</v>
      </c>
      <c r="E65" s="337" t="s">
        <v>101</v>
      </c>
      <c r="F65" s="337" t="s">
        <v>35</v>
      </c>
      <c r="G65" s="337">
        <v>15</v>
      </c>
      <c r="H65" s="338">
        <v>4059</v>
      </c>
      <c r="I65" s="338">
        <f t="shared" si="16"/>
        <v>4059</v>
      </c>
      <c r="J65" s="339">
        <f t="shared" si="17"/>
        <v>0</v>
      </c>
      <c r="K65" s="339">
        <f t="shared" si="18"/>
        <v>306.43</v>
      </c>
      <c r="L65" s="338">
        <f t="shared" si="19"/>
        <v>3752.57</v>
      </c>
      <c r="M65" s="338"/>
      <c r="O65" s="13">
        <v>4059.2699999999995</v>
      </c>
      <c r="P65" s="42"/>
      <c r="Q65" s="43"/>
    </row>
    <row r="66" spans="4:17" ht="48" customHeight="1" x14ac:dyDescent="0.3">
      <c r="D66" s="351" t="s">
        <v>258</v>
      </c>
      <c r="E66" s="337" t="s">
        <v>102</v>
      </c>
      <c r="F66" s="337" t="s">
        <v>103</v>
      </c>
      <c r="G66" s="337">
        <v>15</v>
      </c>
      <c r="H66" s="338">
        <v>4640</v>
      </c>
      <c r="I66" s="338">
        <f t="shared" si="16"/>
        <v>4640</v>
      </c>
      <c r="J66" s="339">
        <f t="shared" si="17"/>
        <v>0</v>
      </c>
      <c r="K66" s="339">
        <f t="shared" si="18"/>
        <v>369.65</v>
      </c>
      <c r="L66" s="338">
        <f t="shared" si="19"/>
        <v>4270.3500000000004</v>
      </c>
      <c r="M66" s="338"/>
      <c r="O66" s="13">
        <v>4639.9049999999997</v>
      </c>
      <c r="P66" s="42"/>
      <c r="Q66" s="43"/>
    </row>
    <row r="67" spans="4:17" ht="48" customHeight="1" x14ac:dyDescent="0.3">
      <c r="D67" s="352" t="s">
        <v>259</v>
      </c>
      <c r="E67" s="337" t="s">
        <v>160</v>
      </c>
      <c r="F67" s="337" t="s">
        <v>103</v>
      </c>
      <c r="G67" s="337">
        <v>15</v>
      </c>
      <c r="H67" s="338">
        <v>3414</v>
      </c>
      <c r="I67" s="338">
        <f t="shared" si="16"/>
        <v>3414</v>
      </c>
      <c r="J67" s="339">
        <f t="shared" si="17"/>
        <v>0</v>
      </c>
      <c r="K67" s="339">
        <f t="shared" si="18"/>
        <v>111.16</v>
      </c>
      <c r="L67" s="338">
        <f t="shared" si="19"/>
        <v>3302.84</v>
      </c>
      <c r="M67" s="338"/>
      <c r="O67" s="13">
        <v>3414.4649999999997</v>
      </c>
      <c r="P67" s="42"/>
      <c r="Q67" s="43"/>
    </row>
    <row r="68" spans="4:17" ht="48" customHeight="1" x14ac:dyDescent="0.3">
      <c r="D68" s="353" t="s">
        <v>260</v>
      </c>
      <c r="E68" s="337" t="s">
        <v>147</v>
      </c>
      <c r="F68" s="337" t="s">
        <v>35</v>
      </c>
      <c r="G68" s="337">
        <v>15</v>
      </c>
      <c r="H68" s="338">
        <v>4373</v>
      </c>
      <c r="I68" s="338">
        <f t="shared" si="16"/>
        <v>4373</v>
      </c>
      <c r="J68" s="339">
        <f t="shared" si="17"/>
        <v>0</v>
      </c>
      <c r="K68" s="339">
        <f t="shared" si="18"/>
        <v>340.6</v>
      </c>
      <c r="L68" s="338">
        <f t="shared" si="19"/>
        <v>4032.4</v>
      </c>
      <c r="M68" s="338"/>
      <c r="O68" s="13">
        <v>4372.875</v>
      </c>
      <c r="P68" s="42"/>
      <c r="Q68" s="43"/>
    </row>
    <row r="69" spans="4:17" ht="48" customHeight="1" x14ac:dyDescent="0.3">
      <c r="D69" s="354" t="s">
        <v>544</v>
      </c>
      <c r="E69" s="348" t="s">
        <v>349</v>
      </c>
      <c r="F69" s="355" t="s">
        <v>103</v>
      </c>
      <c r="G69" s="356">
        <v>15</v>
      </c>
      <c r="H69" s="338">
        <v>3414</v>
      </c>
      <c r="I69" s="338">
        <f t="shared" si="16"/>
        <v>3414</v>
      </c>
      <c r="J69" s="339">
        <f t="shared" si="17"/>
        <v>0</v>
      </c>
      <c r="K69" s="339">
        <f t="shared" si="18"/>
        <v>111.16</v>
      </c>
      <c r="L69" s="338">
        <f t="shared" ref="L69" si="24">I69-K69</f>
        <v>3302.84</v>
      </c>
      <c r="M69" s="357"/>
      <c r="O69" s="13">
        <v>3414.4649999999997</v>
      </c>
      <c r="P69" s="42"/>
      <c r="Q69" s="43"/>
    </row>
    <row r="70" spans="4:17" ht="48" customHeight="1" x14ac:dyDescent="0.3">
      <c r="D70" s="354"/>
      <c r="E70" s="348"/>
      <c r="F70" s="355"/>
      <c r="G70" s="356"/>
      <c r="H70" s="338"/>
      <c r="I70" s="338"/>
      <c r="J70" s="339"/>
      <c r="K70" s="339"/>
      <c r="L70" s="338"/>
      <c r="M70" s="357"/>
      <c r="O70" s="13">
        <v>3414.4649999999997</v>
      </c>
      <c r="P70" s="42"/>
      <c r="Q70" s="43"/>
    </row>
    <row r="71" spans="4:17" ht="50.1" customHeight="1" x14ac:dyDescent="0.3">
      <c r="D71" s="232"/>
      <c r="E71" s="134"/>
      <c r="F71" s="134"/>
      <c r="G71" s="104"/>
      <c r="H71" s="133"/>
      <c r="I71" s="135"/>
      <c r="J71" s="136"/>
      <c r="K71" s="136"/>
      <c r="L71" s="136"/>
      <c r="N71" s="72"/>
    </row>
    <row r="72" spans="4:17" ht="33.75" customHeight="1" thickBot="1" x14ac:dyDescent="0.35">
      <c r="D72" s="598" t="s">
        <v>61</v>
      </c>
      <c r="E72" s="599"/>
      <c r="F72" s="599"/>
      <c r="G72" s="105"/>
      <c r="H72" s="332">
        <f>SUM(H62:H71)</f>
        <v>31713</v>
      </c>
      <c r="I72" s="332">
        <f t="shared" ref="I72:L72" si="25">SUM(I62:I71)</f>
        <v>31713</v>
      </c>
      <c r="J72" s="332">
        <f t="shared" si="25"/>
        <v>0</v>
      </c>
      <c r="K72" s="332">
        <f t="shared" si="25"/>
        <v>1993.6000000000001</v>
      </c>
      <c r="L72" s="332">
        <f t="shared" si="25"/>
        <v>29719.4</v>
      </c>
      <c r="M72" s="303"/>
    </row>
    <row r="73" spans="4:17" ht="13.8" thickTop="1" x14ac:dyDescent="0.25"/>
    <row r="80" spans="4:17" x14ac:dyDescent="0.25">
      <c r="E80" s="27" t="s">
        <v>99</v>
      </c>
      <c r="H80" s="27"/>
      <c r="I80" s="27"/>
      <c r="J80" s="27"/>
      <c r="K80" s="27"/>
      <c r="L80" s="52"/>
      <c r="M80" s="52"/>
    </row>
    <row r="81" spans="5:13" ht="24.9" customHeight="1" x14ac:dyDescent="0.25">
      <c r="E81" s="26" t="s">
        <v>407</v>
      </c>
      <c r="L81" s="549" t="s">
        <v>408</v>
      </c>
      <c r="M81" s="549"/>
    </row>
    <row r="82" spans="5:13" x14ac:dyDescent="0.25">
      <c r="E82" s="27" t="s">
        <v>11</v>
      </c>
      <c r="F82" s="27"/>
      <c r="G82" s="27"/>
      <c r="H82" s="27"/>
      <c r="I82" s="27"/>
      <c r="J82" s="27"/>
      <c r="K82" s="27"/>
      <c r="L82" s="550" t="s">
        <v>135</v>
      </c>
      <c r="M82" s="550"/>
    </row>
    <row r="84" spans="5:13" x14ac:dyDescent="0.25">
      <c r="L84" s="57">
        <f>SUM(L62:L70)</f>
        <v>29719.4</v>
      </c>
    </row>
    <row r="85" spans="5:13" ht="24.9" customHeight="1" x14ac:dyDescent="0.25">
      <c r="E85" s="34"/>
      <c r="F85" s="34"/>
      <c r="G85" s="34"/>
      <c r="H85" s="34"/>
      <c r="I85" s="34"/>
      <c r="J85" s="34"/>
      <c r="K85" s="34"/>
      <c r="L85" s="34"/>
      <c r="M85" s="34"/>
    </row>
    <row r="86" spans="5:13" ht="24.9" customHeight="1" x14ac:dyDescent="0.25">
      <c r="E86" s="35"/>
      <c r="F86" s="34"/>
      <c r="G86" s="34"/>
      <c r="H86" s="35"/>
      <c r="I86" s="35"/>
      <c r="J86" s="35"/>
      <c r="K86" s="35"/>
      <c r="L86" s="35"/>
      <c r="M86" s="35"/>
    </row>
    <row r="87" spans="5:13" x14ac:dyDescent="0.25">
      <c r="E87" s="19"/>
      <c r="F87" s="34"/>
      <c r="G87" s="34"/>
      <c r="H87" s="34"/>
      <c r="I87" s="34"/>
      <c r="J87" s="34"/>
      <c r="K87" s="34"/>
      <c r="L87" s="34"/>
      <c r="M87" s="34"/>
    </row>
    <row r="88" spans="5:13" x14ac:dyDescent="0.25">
      <c r="E88" s="29"/>
      <c r="F88" s="27"/>
      <c r="G88" s="27"/>
      <c r="H88" s="27"/>
      <c r="I88" s="27"/>
      <c r="J88" s="27"/>
      <c r="K88" s="27"/>
      <c r="L88" s="27"/>
      <c r="M88" s="27"/>
    </row>
  </sheetData>
  <sheetProtection selectLockedCells="1" selectUnlockedCells="1"/>
  <mergeCells count="16">
    <mergeCell ref="D3:M3"/>
    <mergeCell ref="D5:M5"/>
    <mergeCell ref="I7:M7"/>
    <mergeCell ref="D6:M6"/>
    <mergeCell ref="D41:F41"/>
    <mergeCell ref="L46:M46"/>
    <mergeCell ref="I56:M56"/>
    <mergeCell ref="L82:M82"/>
    <mergeCell ref="L47:M47"/>
    <mergeCell ref="D4:M4"/>
    <mergeCell ref="D53:M53"/>
    <mergeCell ref="D54:M54"/>
    <mergeCell ref="D72:F72"/>
    <mergeCell ref="L81:M81"/>
    <mergeCell ref="D55:M55"/>
    <mergeCell ref="D52:M52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L35"/>
  <sheetViews>
    <sheetView topLeftCell="C10" workbookViewId="0">
      <selection activeCell="D10" sqref="C10:I19"/>
    </sheetView>
  </sheetViews>
  <sheetFormatPr baseColWidth="10" defaultRowHeight="13.2" x14ac:dyDescent="0.25"/>
  <cols>
    <col min="1" max="2" width="0" hidden="1" customWidth="1"/>
    <col min="3" max="3" width="6.33203125" style="236" customWidth="1"/>
    <col min="4" max="4" width="42.88671875" customWidth="1"/>
    <col min="5" max="5" width="36.33203125" customWidth="1"/>
    <col min="6" max="6" width="7" customWidth="1"/>
    <col min="7" max="7" width="11.109375" customWidth="1"/>
    <col min="8" max="8" width="7.5546875" customWidth="1"/>
    <col min="9" max="9" width="11.44140625" customWidth="1"/>
    <col min="10" max="10" width="73.5546875" customWidth="1"/>
  </cols>
  <sheetData>
    <row r="2" spans="3:12" x14ac:dyDescent="0.25">
      <c r="C2" s="233"/>
      <c r="D2" s="11"/>
      <c r="E2" s="11"/>
      <c r="F2" s="11"/>
      <c r="G2" s="11"/>
      <c r="H2" s="11"/>
      <c r="I2" s="11"/>
      <c r="J2" s="11"/>
    </row>
    <row r="3" spans="3:12" ht="19.8" x14ac:dyDescent="0.3">
      <c r="C3" s="605" t="s">
        <v>12</v>
      </c>
      <c r="D3" s="606"/>
      <c r="E3" s="606"/>
      <c r="F3" s="606"/>
      <c r="G3" s="606"/>
      <c r="H3" s="606"/>
      <c r="I3" s="606"/>
      <c r="J3" s="607"/>
    </row>
    <row r="4" spans="3:12" ht="19.8" hidden="1" x14ac:dyDescent="0.3">
      <c r="C4" s="608" t="s">
        <v>8</v>
      </c>
      <c r="D4" s="609"/>
      <c r="E4" s="609"/>
      <c r="F4" s="609"/>
      <c r="G4" s="609"/>
      <c r="H4" s="609"/>
      <c r="I4" s="609"/>
      <c r="J4" s="610"/>
    </row>
    <row r="5" spans="3:12" ht="19.8" x14ac:dyDescent="0.3">
      <c r="C5" s="608" t="s">
        <v>138</v>
      </c>
      <c r="D5" s="609"/>
      <c r="E5" s="609"/>
      <c r="F5" s="609"/>
      <c r="G5" s="609"/>
      <c r="H5" s="609"/>
      <c r="I5" s="609"/>
      <c r="J5" s="610"/>
    </row>
    <row r="6" spans="3:12" ht="19.8" x14ac:dyDescent="0.3">
      <c r="C6" s="608" t="s">
        <v>551</v>
      </c>
      <c r="D6" s="609"/>
      <c r="E6" s="609"/>
      <c r="F6" s="609"/>
      <c r="G6" s="609"/>
      <c r="H6" s="609"/>
      <c r="I6" s="609"/>
      <c r="J6" s="610"/>
    </row>
    <row r="7" spans="3:12" x14ac:dyDescent="0.25">
      <c r="C7" s="321"/>
      <c r="D7" s="304"/>
      <c r="E7" s="304"/>
      <c r="F7" s="305"/>
      <c r="G7" s="611" t="s">
        <v>0</v>
      </c>
      <c r="H7" s="612"/>
      <c r="I7" s="306"/>
      <c r="J7" s="322"/>
    </row>
    <row r="8" spans="3:12" x14ac:dyDescent="0.25">
      <c r="C8" s="323" t="s">
        <v>3</v>
      </c>
      <c r="D8" s="305"/>
      <c r="E8" s="305"/>
      <c r="F8" s="305"/>
      <c r="G8" s="307" t="s">
        <v>1</v>
      </c>
      <c r="H8" s="307"/>
      <c r="I8" s="306" t="s">
        <v>124</v>
      </c>
      <c r="J8" s="305" t="s">
        <v>136</v>
      </c>
    </row>
    <row r="9" spans="3:12" ht="13.8" x14ac:dyDescent="0.25">
      <c r="C9" s="324"/>
      <c r="D9" s="308" t="s">
        <v>140</v>
      </c>
      <c r="E9" s="308" t="s">
        <v>141</v>
      </c>
      <c r="F9" s="305" t="s">
        <v>139</v>
      </c>
      <c r="G9" s="305" t="s">
        <v>7</v>
      </c>
      <c r="H9" s="305"/>
      <c r="I9" s="305" t="s">
        <v>127</v>
      </c>
      <c r="J9" s="305"/>
    </row>
    <row r="10" spans="3:12" ht="13.8" x14ac:dyDescent="0.25">
      <c r="C10" s="323"/>
      <c r="D10" s="309" t="s">
        <v>65</v>
      </c>
      <c r="E10" s="325"/>
      <c r="F10" s="326"/>
      <c r="G10" s="326"/>
      <c r="H10" s="326"/>
      <c r="I10" s="327"/>
      <c r="J10" s="326"/>
    </row>
    <row r="11" spans="3:12" ht="35.1" customHeight="1" x14ac:dyDescent="0.25">
      <c r="C11" s="234"/>
      <c r="D11" s="8"/>
      <c r="E11" s="131"/>
      <c r="F11" s="132"/>
      <c r="G11" s="130"/>
      <c r="H11" s="130"/>
      <c r="I11" s="130"/>
      <c r="J11" s="130"/>
      <c r="K11" s="128"/>
    </row>
    <row r="12" spans="3:12" ht="39.9" customHeight="1" x14ac:dyDescent="0.25">
      <c r="C12" s="239" t="s">
        <v>261</v>
      </c>
      <c r="D12" s="240" t="s">
        <v>58</v>
      </c>
      <c r="E12" s="240" t="s">
        <v>37</v>
      </c>
      <c r="F12" s="241">
        <v>15</v>
      </c>
      <c r="G12" s="242">
        <v>1992</v>
      </c>
      <c r="H12" s="243"/>
      <c r="I12" s="244">
        <f t="shared" ref="I12:I19" si="0">G12</f>
        <v>1992</v>
      </c>
      <c r="J12" s="245"/>
      <c r="L12" s="5"/>
    </row>
    <row r="13" spans="3:12" ht="39.9" customHeight="1" x14ac:dyDescent="0.25">
      <c r="C13" s="239" t="s">
        <v>262</v>
      </c>
      <c r="D13" s="240" t="s">
        <v>59</v>
      </c>
      <c r="E13" s="240" t="s">
        <v>60</v>
      </c>
      <c r="F13" s="241">
        <v>15</v>
      </c>
      <c r="G13" s="242">
        <v>2430</v>
      </c>
      <c r="H13" s="243"/>
      <c r="I13" s="244">
        <f t="shared" si="0"/>
        <v>2430</v>
      </c>
      <c r="J13" s="245"/>
      <c r="L13" s="5"/>
    </row>
    <row r="14" spans="3:12" ht="39.9" customHeight="1" x14ac:dyDescent="0.25">
      <c r="C14" s="239" t="s">
        <v>263</v>
      </c>
      <c r="D14" s="240" t="s">
        <v>31</v>
      </c>
      <c r="E14" s="240" t="s">
        <v>29</v>
      </c>
      <c r="F14" s="241">
        <v>15</v>
      </c>
      <c r="G14" s="242">
        <v>3194</v>
      </c>
      <c r="H14" s="243"/>
      <c r="I14" s="244">
        <f t="shared" si="0"/>
        <v>3194</v>
      </c>
      <c r="J14" s="245"/>
      <c r="K14" s="238"/>
      <c r="L14" s="5"/>
    </row>
    <row r="15" spans="3:12" ht="39.9" customHeight="1" x14ac:dyDescent="0.25">
      <c r="C15" s="239" t="s">
        <v>264</v>
      </c>
      <c r="D15" s="240" t="s">
        <v>38</v>
      </c>
      <c r="E15" s="240" t="s">
        <v>174</v>
      </c>
      <c r="F15" s="241">
        <v>15</v>
      </c>
      <c r="G15" s="242">
        <v>1918</v>
      </c>
      <c r="H15" s="243"/>
      <c r="I15" s="244">
        <f t="shared" si="0"/>
        <v>1918</v>
      </c>
      <c r="J15" s="245"/>
      <c r="K15" s="129"/>
      <c r="L15" s="127"/>
    </row>
    <row r="16" spans="3:12" ht="39.9" customHeight="1" x14ac:dyDescent="0.25">
      <c r="C16" s="239" t="s">
        <v>265</v>
      </c>
      <c r="D16" s="246" t="s">
        <v>40</v>
      </c>
      <c r="E16" s="240" t="s">
        <v>41</v>
      </c>
      <c r="F16" s="247">
        <v>15</v>
      </c>
      <c r="G16" s="242">
        <v>2294</v>
      </c>
      <c r="H16" s="243"/>
      <c r="I16" s="244">
        <f t="shared" si="0"/>
        <v>2294</v>
      </c>
      <c r="J16" s="245"/>
      <c r="K16" s="129"/>
      <c r="L16" s="127"/>
    </row>
    <row r="17" spans="3:12" ht="39.9" customHeight="1" x14ac:dyDescent="0.25">
      <c r="C17" s="239" t="s">
        <v>266</v>
      </c>
      <c r="D17" s="246" t="s">
        <v>54</v>
      </c>
      <c r="E17" s="240" t="s">
        <v>76</v>
      </c>
      <c r="F17" s="247">
        <v>15</v>
      </c>
      <c r="G17" s="242">
        <v>1487</v>
      </c>
      <c r="H17" s="243"/>
      <c r="I17" s="244">
        <f t="shared" si="0"/>
        <v>1487</v>
      </c>
      <c r="J17" s="245"/>
      <c r="K17" s="129"/>
      <c r="L17" s="127"/>
    </row>
    <row r="18" spans="3:12" ht="39.9" customHeight="1" x14ac:dyDescent="0.25">
      <c r="C18" s="239" t="s">
        <v>229</v>
      </c>
      <c r="D18" s="240" t="s">
        <v>43</v>
      </c>
      <c r="E18" s="240" t="s">
        <v>277</v>
      </c>
      <c r="F18" s="241">
        <v>15</v>
      </c>
      <c r="G18" s="242">
        <v>1800</v>
      </c>
      <c r="H18" s="243"/>
      <c r="I18" s="244">
        <f t="shared" ref="I18" si="1">G18</f>
        <v>1800</v>
      </c>
      <c r="J18" s="245"/>
      <c r="K18" s="129"/>
      <c r="L18" s="127"/>
    </row>
    <row r="19" spans="3:12" ht="39.9" customHeight="1" x14ac:dyDescent="0.25">
      <c r="C19" s="239" t="s">
        <v>229</v>
      </c>
      <c r="D19" s="240" t="s">
        <v>438</v>
      </c>
      <c r="E19" s="240" t="s">
        <v>29</v>
      </c>
      <c r="F19" s="241">
        <v>15</v>
      </c>
      <c r="G19" s="242">
        <v>2400</v>
      </c>
      <c r="H19" s="243"/>
      <c r="I19" s="244">
        <f t="shared" si="0"/>
        <v>2400</v>
      </c>
      <c r="J19" s="245"/>
      <c r="K19" s="129"/>
      <c r="L19" s="127"/>
    </row>
    <row r="20" spans="3:12" ht="35.1" customHeight="1" x14ac:dyDescent="0.25">
      <c r="C20" s="235"/>
      <c r="D20" s="56"/>
      <c r="E20" s="248"/>
      <c r="F20" s="248"/>
      <c r="G20" s="362"/>
      <c r="H20" s="248"/>
      <c r="I20" s="362"/>
      <c r="J20" s="1"/>
    </row>
    <row r="21" spans="3:12" ht="35.1" customHeight="1" x14ac:dyDescent="0.25">
      <c r="C21" s="235"/>
      <c r="D21" s="56"/>
      <c r="E21" s="328" t="s">
        <v>61</v>
      </c>
      <c r="F21" s="329"/>
      <c r="G21" s="330">
        <f>SUM(G12:G20)</f>
        <v>17515</v>
      </c>
      <c r="H21" s="330">
        <f>SUM(H12:H20)</f>
        <v>0</v>
      </c>
      <c r="I21" s="330">
        <f>SUM(I12:I20)</f>
        <v>17515</v>
      </c>
      <c r="J21" s="331"/>
    </row>
    <row r="22" spans="3:12" ht="35.1" customHeight="1" x14ac:dyDescent="0.25">
      <c r="C22" s="235"/>
      <c r="D22" s="56"/>
      <c r="E22" s="81"/>
      <c r="F22" s="82"/>
      <c r="G22" s="83"/>
      <c r="H22" s="83"/>
      <c r="I22" s="83"/>
      <c r="J22" s="84"/>
    </row>
    <row r="23" spans="3:12" ht="35.1" customHeight="1" x14ac:dyDescent="0.25">
      <c r="C23" s="235"/>
      <c r="D23" s="56"/>
      <c r="E23" s="81"/>
      <c r="F23" s="82"/>
      <c r="G23" s="83"/>
      <c r="H23" s="83"/>
      <c r="I23" s="83"/>
      <c r="J23" s="84"/>
    </row>
    <row r="24" spans="3:12" ht="35.1" customHeight="1" x14ac:dyDescent="0.25">
      <c r="C24" s="221"/>
      <c r="D24" s="1"/>
      <c r="E24" s="1"/>
      <c r="F24" s="1"/>
      <c r="G24" s="1"/>
      <c r="H24" s="1"/>
      <c r="I24" s="1"/>
      <c r="J24" s="1"/>
    </row>
    <row r="25" spans="3:12" x14ac:dyDescent="0.25">
      <c r="C25" s="221"/>
      <c r="D25" s="1"/>
      <c r="E25" s="1"/>
      <c r="F25" s="1"/>
      <c r="G25" s="1"/>
      <c r="H25" s="1"/>
      <c r="I25" s="1"/>
      <c r="J25" s="1"/>
    </row>
    <row r="26" spans="3:12" x14ac:dyDescent="0.25">
      <c r="C26" s="221"/>
      <c r="D26" s="51"/>
      <c r="E26" s="1"/>
      <c r="F26" s="1"/>
      <c r="G26" s="1"/>
      <c r="H26" s="1"/>
      <c r="I26" s="51"/>
      <c r="J26" s="51"/>
    </row>
    <row r="27" spans="3:12" x14ac:dyDescent="0.25">
      <c r="C27" s="221"/>
      <c r="D27" s="26" t="s">
        <v>405</v>
      </c>
      <c r="E27" s="1"/>
      <c r="F27" s="1"/>
      <c r="G27" s="1"/>
      <c r="H27" s="1"/>
      <c r="I27" s="604" t="s">
        <v>403</v>
      </c>
      <c r="J27" s="604"/>
    </row>
    <row r="28" spans="3:12" x14ac:dyDescent="0.25">
      <c r="C28" s="221"/>
      <c r="D28" s="27" t="s">
        <v>11</v>
      </c>
      <c r="E28" s="6"/>
      <c r="F28" s="6"/>
      <c r="G28" s="6"/>
      <c r="H28" s="6"/>
      <c r="I28" s="550" t="s">
        <v>135</v>
      </c>
      <c r="J28" s="550"/>
    </row>
    <row r="29" spans="3:12" x14ac:dyDescent="0.25">
      <c r="C29" s="221"/>
      <c r="D29" s="1"/>
      <c r="E29" s="1"/>
      <c r="F29" s="1"/>
      <c r="G29" s="1"/>
      <c r="H29" s="1"/>
      <c r="I29" s="1"/>
      <c r="J29" s="1"/>
    </row>
    <row r="30" spans="3:12" x14ac:dyDescent="0.25">
      <c r="C30" s="221"/>
      <c r="D30" s="1"/>
      <c r="E30" s="1"/>
      <c r="F30" s="1"/>
      <c r="G30" s="1"/>
      <c r="H30" s="1"/>
      <c r="I30" s="1"/>
      <c r="J30" s="1"/>
    </row>
    <row r="31" spans="3:12" x14ac:dyDescent="0.25">
      <c r="C31" s="221"/>
      <c r="D31" s="1"/>
      <c r="E31" s="1"/>
      <c r="F31" s="1"/>
      <c r="G31" s="1"/>
      <c r="H31" s="1"/>
      <c r="I31" s="1"/>
      <c r="J31" s="1"/>
    </row>
    <row r="32" spans="3:12" x14ac:dyDescent="0.25">
      <c r="C32" s="221"/>
      <c r="D32" s="1"/>
      <c r="E32" s="1"/>
      <c r="F32" s="1"/>
      <c r="G32" s="1"/>
      <c r="H32" s="1"/>
      <c r="I32" s="1"/>
      <c r="J32" s="1"/>
    </row>
    <row r="33" spans="3:10" x14ac:dyDescent="0.25">
      <c r="C33" s="221"/>
      <c r="D33" s="2"/>
      <c r="E33" s="1"/>
      <c r="F33" s="1"/>
      <c r="G33" s="2"/>
      <c r="H33" s="1"/>
      <c r="I33" s="1"/>
      <c r="J33" s="1"/>
    </row>
    <row r="34" spans="3:10" x14ac:dyDescent="0.25">
      <c r="C34" s="221"/>
      <c r="D34" s="6"/>
      <c r="E34" s="6"/>
      <c r="F34" s="6"/>
      <c r="G34" s="6"/>
      <c r="H34" s="6"/>
      <c r="I34" s="6"/>
      <c r="J34" s="6"/>
    </row>
    <row r="35" spans="3:10" x14ac:dyDescent="0.25">
      <c r="C35" s="221"/>
      <c r="D35" s="1"/>
      <c r="E35" s="1"/>
      <c r="F35" s="1"/>
      <c r="G35" s="1"/>
      <c r="H35" s="1"/>
      <c r="I35" s="1"/>
      <c r="J35" s="1"/>
    </row>
  </sheetData>
  <sheetProtection selectLockedCells="1" selectUnlockedCells="1"/>
  <mergeCells count="7">
    <mergeCell ref="I27:J27"/>
    <mergeCell ref="I28:J28"/>
    <mergeCell ref="C3:J3"/>
    <mergeCell ref="C4:J4"/>
    <mergeCell ref="G7:H7"/>
    <mergeCell ref="C5:J5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F15" sqref="F15"/>
    </sheetView>
  </sheetViews>
  <sheetFormatPr baseColWidth="10" defaultColWidth="11" defaultRowHeight="12" x14ac:dyDescent="0.2"/>
  <cols>
    <col min="1" max="1" width="11" style="137"/>
    <col min="2" max="2" width="49.5546875" style="137" customWidth="1"/>
    <col min="3" max="3" width="15.44140625" style="137" customWidth="1"/>
    <col min="4" max="4" width="4.33203125" style="137" customWidth="1"/>
    <col min="5" max="5" width="11.88671875" style="137" hidden="1" customWidth="1"/>
    <col min="6" max="6" width="43.5546875" style="137" customWidth="1"/>
    <col min="7" max="7" width="12" style="137" bestFit="1" customWidth="1"/>
    <col min="8" max="8" width="12.33203125" style="137" bestFit="1" customWidth="1"/>
    <col min="9" max="9" width="11.33203125" style="137" bestFit="1" customWidth="1"/>
    <col min="10" max="10" width="10.5546875" style="137" customWidth="1"/>
    <col min="11" max="11" width="11" style="137"/>
    <col min="12" max="12" width="12" style="137" hidden="1" customWidth="1"/>
    <col min="13" max="14" width="11.33203125" style="137" hidden="1" customWidth="1"/>
    <col min="15" max="15" width="11" style="137"/>
    <col min="16" max="17" width="11.109375" style="137" bestFit="1" customWidth="1"/>
    <col min="18" max="22" width="8.6640625" style="137" customWidth="1"/>
    <col min="23" max="24" width="11" style="137"/>
    <col min="25" max="25" width="12.33203125" style="137" bestFit="1" customWidth="1"/>
    <col min="26" max="26" width="11" style="137" bestFit="1" customWidth="1"/>
    <col min="27" max="27" width="10.5546875" style="137" customWidth="1"/>
    <col min="28" max="28" width="11" style="137"/>
    <col min="29" max="29" width="12" style="137" hidden="1" customWidth="1"/>
    <col min="30" max="31" width="11.33203125" style="137" hidden="1" customWidth="1"/>
    <col min="32" max="32" width="11" style="137"/>
    <col min="33" max="34" width="11.109375" style="137" bestFit="1" customWidth="1"/>
    <col min="35" max="16384" width="11" style="137"/>
  </cols>
  <sheetData>
    <row r="1" spans="2:34" ht="13.2" x14ac:dyDescent="0.25">
      <c r="B1" s="138"/>
      <c r="C1" s="138"/>
      <c r="D1" s="138"/>
      <c r="E1" s="138"/>
      <c r="F1" s="138"/>
    </row>
    <row r="2" spans="2:34" ht="25.5" customHeight="1" x14ac:dyDescent="0.4">
      <c r="B2" s="139" t="s">
        <v>204</v>
      </c>
      <c r="C2" s="140"/>
      <c r="D2" s="140"/>
      <c r="E2" s="140"/>
      <c r="F2" s="140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41" t="s">
        <v>177</v>
      </c>
      <c r="C3" s="140"/>
      <c r="D3" s="140"/>
      <c r="E3" s="140"/>
      <c r="F3" s="140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42" t="s">
        <v>205</v>
      </c>
      <c r="C4" s="143"/>
      <c r="D4" s="140"/>
      <c r="E4" s="140"/>
      <c r="F4" s="140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44" t="s">
        <v>274</v>
      </c>
      <c r="C5" s="143"/>
      <c r="D5" s="140"/>
      <c r="E5" s="140"/>
      <c r="F5" s="140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45"/>
      <c r="C7" s="145"/>
      <c r="D7" s="145"/>
      <c r="E7" s="145"/>
      <c r="F7" s="145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45"/>
      <c r="C8" s="145"/>
      <c r="D8" s="145"/>
      <c r="E8" s="145"/>
      <c r="F8" s="145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46" t="s">
        <v>178</v>
      </c>
      <c r="C9" s="146"/>
      <c r="D9" s="147"/>
      <c r="E9" s="146"/>
      <c r="F9" s="148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47"/>
      <c r="C10" s="147"/>
      <c r="D10" s="147"/>
      <c r="E10" s="147"/>
      <c r="F10" s="147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49" t="s">
        <v>179</v>
      </c>
      <c r="C11" s="150">
        <v>17000</v>
      </c>
      <c r="D11" s="149"/>
      <c r="E11" s="149"/>
      <c r="F11" s="149"/>
      <c r="G11" s="151"/>
      <c r="H11" s="613" t="s">
        <v>454</v>
      </c>
      <c r="I11" s="613"/>
      <c r="J11" s="613"/>
      <c r="K11" s="613"/>
      <c r="L11" s="613"/>
      <c r="M11" s="613"/>
      <c r="N11" s="613"/>
      <c r="O11" s="613"/>
      <c r="R11" s="152"/>
      <c r="S11" s="152"/>
      <c r="T11" s="152"/>
      <c r="U11" s="152"/>
      <c r="V11" s="152"/>
      <c r="W11" s="152"/>
      <c r="X11" s="152"/>
      <c r="Y11" s="613" t="s">
        <v>180</v>
      </c>
      <c r="Z11" s="613"/>
      <c r="AA11" s="613"/>
      <c r="AB11" s="613"/>
      <c r="AC11" s="613"/>
      <c r="AD11" s="613"/>
      <c r="AE11" s="613"/>
      <c r="AF11" s="613"/>
    </row>
    <row r="12" spans="2:34" ht="20.25" customHeight="1" x14ac:dyDescent="0.25">
      <c r="B12" s="153" t="s">
        <v>181</v>
      </c>
      <c r="C12" s="154">
        <f>C11/15*30.4</f>
        <v>34453.333333333328</v>
      </c>
      <c r="D12" s="155"/>
      <c r="E12" s="155"/>
      <c r="F12" s="155"/>
      <c r="G12" s="156"/>
      <c r="H12" s="152"/>
      <c r="J12" s="157"/>
      <c r="K12" s="157"/>
      <c r="R12" s="1"/>
      <c r="S12" s="1"/>
      <c r="T12" s="1"/>
      <c r="U12" s="1"/>
      <c r="V12" s="1"/>
      <c r="W12" s="156"/>
      <c r="X12" s="152"/>
      <c r="Y12" s="152"/>
      <c r="AA12" s="157"/>
      <c r="AB12" s="157"/>
    </row>
    <row r="13" spans="2:34" ht="22.5" customHeight="1" x14ac:dyDescent="0.3">
      <c r="B13" s="158" t="s">
        <v>182</v>
      </c>
      <c r="C13" s="154">
        <v>0</v>
      </c>
      <c r="D13" s="155"/>
      <c r="E13" s="155"/>
      <c r="F13" s="155"/>
      <c r="H13" s="251" t="s">
        <v>270</v>
      </c>
      <c r="I13" s="159"/>
      <c r="J13" s="152"/>
      <c r="K13" s="1"/>
      <c r="L13" s="159"/>
      <c r="M13" s="152"/>
      <c r="N13" s="152"/>
      <c r="P13" s="159" t="s">
        <v>128</v>
      </c>
      <c r="Q13" s="160"/>
      <c r="Y13" s="159" t="s">
        <v>183</v>
      </c>
      <c r="Z13" s="159"/>
      <c r="AA13" s="152"/>
      <c r="AB13" s="1"/>
      <c r="AC13" s="159"/>
      <c r="AD13" s="152"/>
      <c r="AE13" s="152"/>
      <c r="AG13" s="159" t="s">
        <v>128</v>
      </c>
      <c r="AH13" s="160"/>
    </row>
    <row r="14" spans="2:34" ht="13.5" customHeight="1" x14ac:dyDescent="0.3">
      <c r="B14" s="158" t="s">
        <v>184</v>
      </c>
      <c r="C14" s="161"/>
      <c r="D14" s="155"/>
      <c r="E14" s="155"/>
      <c r="F14" s="155"/>
      <c r="H14" s="151" t="s">
        <v>178</v>
      </c>
      <c r="I14" s="152"/>
      <c r="J14" s="159"/>
      <c r="K14" s="162"/>
      <c r="L14" s="151"/>
      <c r="M14" s="159"/>
      <c r="N14" s="163"/>
      <c r="O14" s="164"/>
      <c r="P14" s="151" t="s">
        <v>185</v>
      </c>
      <c r="Q14" s="165"/>
      <c r="Y14" s="151" t="s">
        <v>178</v>
      </c>
      <c r="Z14" s="152"/>
      <c r="AA14" s="159"/>
      <c r="AB14" s="162"/>
      <c r="AC14" s="151"/>
      <c r="AD14" s="159"/>
      <c r="AE14" s="163"/>
      <c r="AF14" s="164"/>
      <c r="AG14" s="151" t="s">
        <v>185</v>
      </c>
      <c r="AH14" s="165"/>
    </row>
    <row r="15" spans="2:34" ht="20.25" customHeight="1" x14ac:dyDescent="0.25">
      <c r="B15" s="158" t="s">
        <v>186</v>
      </c>
      <c r="C15" s="154">
        <f>C12-C13</f>
        <v>34453.333333333328</v>
      </c>
      <c r="D15" s="155"/>
      <c r="E15" s="166"/>
      <c r="F15" s="155"/>
      <c r="H15" s="167" t="s">
        <v>187</v>
      </c>
      <c r="I15" s="167" t="s">
        <v>188</v>
      </c>
      <c r="J15" s="167" t="s">
        <v>189</v>
      </c>
      <c r="K15" s="168"/>
      <c r="L15" s="167"/>
      <c r="M15" s="167"/>
      <c r="N15" s="167"/>
      <c r="O15" s="169"/>
      <c r="P15" s="167" t="s">
        <v>190</v>
      </c>
      <c r="Q15" s="167" t="s">
        <v>128</v>
      </c>
      <c r="Y15" s="167" t="s">
        <v>187</v>
      </c>
      <c r="Z15" s="167" t="s">
        <v>188</v>
      </c>
      <c r="AA15" s="167" t="s">
        <v>189</v>
      </c>
      <c r="AB15" s="168"/>
      <c r="AC15" s="167"/>
      <c r="AD15" s="167"/>
      <c r="AE15" s="167"/>
      <c r="AF15" s="169"/>
      <c r="AG15" s="167" t="s">
        <v>190</v>
      </c>
      <c r="AH15" s="167" t="s">
        <v>128</v>
      </c>
    </row>
    <row r="16" spans="2:34" ht="22.5" customHeight="1" x14ac:dyDescent="0.25">
      <c r="B16" s="158" t="s">
        <v>191</v>
      </c>
      <c r="C16" s="154">
        <f>VLOOKUP(C15,TARIFA,1)</f>
        <v>26988.51</v>
      </c>
      <c r="D16" s="155"/>
      <c r="E16" s="166"/>
      <c r="F16" s="155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55"/>
      <c r="C17" s="161"/>
      <c r="D17" s="155"/>
      <c r="E17" s="170"/>
      <c r="F17" s="155"/>
      <c r="H17" s="171">
        <v>0.01</v>
      </c>
      <c r="I17" s="171">
        <v>0</v>
      </c>
      <c r="J17" s="172">
        <v>1.9199999999999998E-2</v>
      </c>
      <c r="K17" s="171"/>
      <c r="L17" s="171"/>
      <c r="M17" s="171"/>
      <c r="N17" s="172"/>
      <c r="O17" s="171"/>
      <c r="P17" s="171">
        <v>0.01</v>
      </c>
      <c r="Q17" s="171">
        <v>407.02</v>
      </c>
      <c r="Y17" s="171">
        <v>0.01</v>
      </c>
      <c r="Z17" s="171">
        <v>0</v>
      </c>
      <c r="AA17" s="172">
        <v>1.9199999999999998E-2</v>
      </c>
      <c r="AB17" s="171"/>
      <c r="AC17" s="171"/>
      <c r="AD17" s="171"/>
      <c r="AE17" s="172"/>
      <c r="AF17" s="171"/>
      <c r="AG17" s="171">
        <v>0.01</v>
      </c>
      <c r="AH17" s="171">
        <v>407.02</v>
      </c>
    </row>
    <row r="18" spans="2:34" ht="20.25" customHeight="1" x14ac:dyDescent="0.25">
      <c r="B18" s="158" t="s">
        <v>192</v>
      </c>
      <c r="C18" s="154">
        <f>C15-C16</f>
        <v>7464.8233333333301</v>
      </c>
      <c r="D18" s="166"/>
      <c r="E18" s="166"/>
      <c r="F18" s="155"/>
      <c r="H18" s="171">
        <v>644.59</v>
      </c>
      <c r="I18" s="171">
        <v>12.38</v>
      </c>
      <c r="J18" s="172">
        <v>6.4000000000000001E-2</v>
      </c>
      <c r="K18" s="171"/>
      <c r="L18" s="171"/>
      <c r="M18" s="171"/>
      <c r="N18" s="172"/>
      <c r="O18" s="171"/>
      <c r="P18" s="171">
        <v>1768.97</v>
      </c>
      <c r="Q18" s="171">
        <v>406.83</v>
      </c>
      <c r="Y18" s="171">
        <v>578.53</v>
      </c>
      <c r="Z18" s="171">
        <v>11.11</v>
      </c>
      <c r="AA18" s="172">
        <v>6.4000000000000001E-2</v>
      </c>
      <c r="AB18" s="171"/>
      <c r="AC18" s="171"/>
      <c r="AD18" s="171"/>
      <c r="AE18" s="172"/>
      <c r="AF18" s="171"/>
      <c r="AG18" s="171">
        <v>1768.97</v>
      </c>
      <c r="AH18" s="171">
        <v>406.83</v>
      </c>
    </row>
    <row r="19" spans="2:34" ht="22.5" customHeight="1" x14ac:dyDescent="0.25">
      <c r="B19" s="158" t="s">
        <v>193</v>
      </c>
      <c r="C19" s="173">
        <f>VLOOKUP(C15,TARIFA,3)</f>
        <v>0.23519999999999999</v>
      </c>
      <c r="D19" s="155"/>
      <c r="E19" s="174"/>
      <c r="F19" s="155"/>
      <c r="H19" s="171">
        <v>5470.93</v>
      </c>
      <c r="I19" s="171">
        <v>321.26</v>
      </c>
      <c r="J19" s="172">
        <v>0.10879999999999999</v>
      </c>
      <c r="K19" s="171"/>
      <c r="L19" s="171"/>
      <c r="M19" s="171"/>
      <c r="N19" s="172"/>
      <c r="O19" s="171"/>
      <c r="P19" s="171">
        <v>2653.39</v>
      </c>
      <c r="Q19" s="171">
        <v>406.62</v>
      </c>
      <c r="Y19" s="171">
        <v>4910.1899999999996</v>
      </c>
      <c r="Z19" s="171">
        <v>288.33</v>
      </c>
      <c r="AA19" s="172">
        <v>0.10879999999999999</v>
      </c>
      <c r="AB19" s="171"/>
      <c r="AC19" s="171"/>
      <c r="AD19" s="171"/>
      <c r="AE19" s="172"/>
      <c r="AF19" s="171"/>
      <c r="AG19" s="171">
        <v>2653.39</v>
      </c>
      <c r="AH19" s="171">
        <v>406.62</v>
      </c>
    </row>
    <row r="20" spans="2:34" ht="14.25" customHeight="1" x14ac:dyDescent="0.25">
      <c r="B20" s="155"/>
      <c r="C20" s="170"/>
      <c r="D20" s="155"/>
      <c r="E20" s="170"/>
      <c r="F20" s="155"/>
      <c r="H20" s="171">
        <v>9614.67</v>
      </c>
      <c r="I20" s="171">
        <v>772.1</v>
      </c>
      <c r="J20" s="172">
        <v>0.16</v>
      </c>
      <c r="K20" s="171"/>
      <c r="L20" s="171"/>
      <c r="M20" s="171"/>
      <c r="N20" s="172"/>
      <c r="O20" s="171"/>
      <c r="P20" s="171">
        <v>3472.85</v>
      </c>
      <c r="Q20" s="171">
        <v>392.77</v>
      </c>
      <c r="Y20" s="171">
        <v>8629.2099999999991</v>
      </c>
      <c r="Z20" s="171">
        <v>692.96</v>
      </c>
      <c r="AA20" s="172">
        <v>0.16</v>
      </c>
      <c r="AB20" s="171"/>
      <c r="AC20" s="171"/>
      <c r="AD20" s="171"/>
      <c r="AE20" s="172"/>
      <c r="AF20" s="171"/>
      <c r="AG20" s="171">
        <v>3472.85</v>
      </c>
      <c r="AH20" s="171">
        <v>392.77</v>
      </c>
    </row>
    <row r="21" spans="2:34" ht="20.25" customHeight="1" x14ac:dyDescent="0.25">
      <c r="B21" s="175" t="s">
        <v>194</v>
      </c>
      <c r="C21" s="176">
        <f>C18*C19</f>
        <v>1755.7264479999992</v>
      </c>
      <c r="D21" s="177"/>
      <c r="E21" s="177"/>
      <c r="F21" s="155"/>
      <c r="H21" s="171">
        <v>11176.63</v>
      </c>
      <c r="I21" s="171">
        <v>1022.01</v>
      </c>
      <c r="J21" s="172">
        <v>0.1792</v>
      </c>
      <c r="K21" s="171"/>
      <c r="L21" s="171"/>
      <c r="M21" s="171"/>
      <c r="N21" s="172"/>
      <c r="O21" s="171"/>
      <c r="P21" s="171">
        <v>3537.88</v>
      </c>
      <c r="Q21" s="171">
        <v>382.46</v>
      </c>
      <c r="Y21" s="171">
        <v>10031.08</v>
      </c>
      <c r="Z21" s="171">
        <v>917.26</v>
      </c>
      <c r="AA21" s="172">
        <v>0.1792</v>
      </c>
      <c r="AB21" s="171"/>
      <c r="AC21" s="171"/>
      <c r="AD21" s="171"/>
      <c r="AE21" s="172"/>
      <c r="AF21" s="171"/>
      <c r="AG21" s="171">
        <v>3537.88</v>
      </c>
      <c r="AH21" s="171">
        <v>382.46</v>
      </c>
    </row>
    <row r="22" spans="2:34" ht="17.25" customHeight="1" x14ac:dyDescent="0.25">
      <c r="B22" s="158" t="s">
        <v>195</v>
      </c>
      <c r="C22" s="154">
        <f>VLOOKUP(C15,TARIFA,2)</f>
        <v>4323.58</v>
      </c>
      <c r="D22" s="155"/>
      <c r="E22" s="178"/>
      <c r="F22" s="155"/>
      <c r="H22" s="171">
        <v>13381.48</v>
      </c>
      <c r="I22" s="171">
        <v>1417.12</v>
      </c>
      <c r="J22" s="172">
        <v>0.21360000000000001</v>
      </c>
      <c r="K22" s="171"/>
      <c r="L22" s="171"/>
      <c r="M22" s="171"/>
      <c r="N22" s="172"/>
      <c r="O22" s="171"/>
      <c r="P22" s="171">
        <v>4446.16</v>
      </c>
      <c r="Q22" s="171">
        <v>354.23</v>
      </c>
      <c r="Y22" s="171">
        <v>12009.95</v>
      </c>
      <c r="Z22" s="171">
        <v>1271.8699999999999</v>
      </c>
      <c r="AA22" s="172">
        <v>0.21360000000000001</v>
      </c>
      <c r="AB22" s="171"/>
      <c r="AC22" s="171"/>
      <c r="AD22" s="171"/>
      <c r="AE22" s="172"/>
      <c r="AF22" s="171"/>
      <c r="AG22" s="171">
        <v>4446.16</v>
      </c>
      <c r="AH22" s="171">
        <v>354.23</v>
      </c>
    </row>
    <row r="23" spans="2:34" ht="14.25" customHeight="1" x14ac:dyDescent="0.25">
      <c r="B23" s="56"/>
      <c r="C23" s="179"/>
      <c r="D23" s="155"/>
      <c r="E23" s="170"/>
      <c r="F23" s="155"/>
      <c r="H23" s="171">
        <v>26988.51</v>
      </c>
      <c r="I23" s="171">
        <v>4323.58</v>
      </c>
      <c r="J23" s="172">
        <v>0.23519999999999999</v>
      </c>
      <c r="K23" s="171"/>
      <c r="L23" s="171"/>
      <c r="M23" s="171"/>
      <c r="N23" s="172"/>
      <c r="O23" s="171"/>
      <c r="P23" s="171">
        <v>4717.1899999999996</v>
      </c>
      <c r="Q23" s="171">
        <v>324.87</v>
      </c>
      <c r="Y23" s="171">
        <v>24222.32</v>
      </c>
      <c r="Z23" s="171">
        <v>3880.44</v>
      </c>
      <c r="AA23" s="172">
        <v>0.23519999999999999</v>
      </c>
      <c r="AB23" s="171"/>
      <c r="AC23" s="171"/>
      <c r="AD23" s="171"/>
      <c r="AE23" s="172"/>
      <c r="AF23" s="171"/>
      <c r="AG23" s="171">
        <v>4717.1899999999996</v>
      </c>
      <c r="AH23" s="171">
        <v>324.87</v>
      </c>
    </row>
    <row r="24" spans="2:34" ht="20.25" customHeight="1" x14ac:dyDescent="0.25">
      <c r="B24" s="56" t="s">
        <v>196</v>
      </c>
      <c r="C24" s="179">
        <f>+C21+C22</f>
        <v>6079.3064479999994</v>
      </c>
      <c r="D24" s="155"/>
      <c r="E24" s="177"/>
      <c r="F24" s="180"/>
      <c r="H24" s="171">
        <v>42537.59</v>
      </c>
      <c r="I24" s="171">
        <v>7980.73</v>
      </c>
      <c r="J24" s="172">
        <v>0.3</v>
      </c>
      <c r="K24" s="171"/>
      <c r="L24" s="171"/>
      <c r="M24" s="171"/>
      <c r="N24" s="172"/>
      <c r="O24" s="171"/>
      <c r="P24" s="171">
        <v>5335.43</v>
      </c>
      <c r="Q24" s="171">
        <v>294.63</v>
      </c>
      <c r="Y24" s="171">
        <v>38177.699999999997</v>
      </c>
      <c r="Z24" s="171">
        <v>7162.74</v>
      </c>
      <c r="AA24" s="172">
        <v>0.3</v>
      </c>
      <c r="AB24" s="171"/>
      <c r="AC24" s="171"/>
      <c r="AD24" s="171"/>
      <c r="AE24" s="172"/>
      <c r="AF24" s="171"/>
      <c r="AG24" s="171">
        <v>5335.43</v>
      </c>
      <c r="AH24" s="171">
        <v>294.63</v>
      </c>
    </row>
    <row r="25" spans="2:34" ht="21.75" customHeight="1" x14ac:dyDescent="0.25">
      <c r="C25" s="181"/>
      <c r="D25" s="182"/>
      <c r="E25" s="166"/>
      <c r="F25" s="155"/>
      <c r="H25" s="171">
        <v>81211.259999999995</v>
      </c>
      <c r="I25" s="171">
        <v>19582.830000000002</v>
      </c>
      <c r="J25" s="172">
        <v>0.32</v>
      </c>
      <c r="K25" s="171"/>
      <c r="L25" s="171"/>
      <c r="M25" s="171"/>
      <c r="N25" s="183"/>
      <c r="O25" s="171"/>
      <c r="P25" s="171">
        <v>6224.68</v>
      </c>
      <c r="Q25" s="171">
        <v>253.54</v>
      </c>
      <c r="Y25" s="171">
        <v>72887.509999999995</v>
      </c>
      <c r="Z25" s="171">
        <v>17575.689999999999</v>
      </c>
      <c r="AA25" s="172">
        <v>0.32</v>
      </c>
      <c r="AB25" s="171"/>
      <c r="AC25" s="171"/>
      <c r="AD25" s="171"/>
      <c r="AE25" s="183"/>
      <c r="AF25" s="171"/>
      <c r="AG25" s="171">
        <v>6224.68</v>
      </c>
      <c r="AH25" s="171">
        <v>253.54</v>
      </c>
    </row>
    <row r="26" spans="2:34" ht="21.75" customHeight="1" x14ac:dyDescent="0.25">
      <c r="B26" s="158" t="s">
        <v>197</v>
      </c>
      <c r="C26" s="154">
        <f>VLOOKUP(C15,SUBSIDIO,2)</f>
        <v>0</v>
      </c>
      <c r="D26" s="155"/>
      <c r="E26" s="184"/>
      <c r="F26" s="56"/>
      <c r="H26" s="171">
        <v>108281.68</v>
      </c>
      <c r="I26" s="171">
        <v>28245.360000000001</v>
      </c>
      <c r="J26" s="172">
        <v>0.34</v>
      </c>
      <c r="K26" s="171"/>
      <c r="L26" s="171"/>
      <c r="M26" s="171"/>
      <c r="N26" s="171"/>
      <c r="O26" s="171"/>
      <c r="P26" s="171">
        <v>7113.91</v>
      </c>
      <c r="Q26" s="171">
        <v>217.61</v>
      </c>
      <c r="Y26" s="171">
        <v>97183.34</v>
      </c>
      <c r="Z26" s="171">
        <v>25350.35</v>
      </c>
      <c r="AA26" s="172">
        <v>0.34</v>
      </c>
      <c r="AB26" s="171"/>
      <c r="AC26" s="171"/>
      <c r="AD26" s="171"/>
      <c r="AE26" s="171"/>
      <c r="AF26" s="171"/>
      <c r="AG26" s="171">
        <v>7113.91</v>
      </c>
      <c r="AH26" s="171">
        <v>217.61</v>
      </c>
    </row>
    <row r="27" spans="2:34" ht="13.8" x14ac:dyDescent="0.25">
      <c r="B27" s="155"/>
      <c r="C27" s="161"/>
      <c r="D27" s="155"/>
      <c r="E27" s="170"/>
      <c r="F27" s="185"/>
      <c r="H27" s="171">
        <v>324845.02</v>
      </c>
      <c r="I27" s="171">
        <v>101876.9</v>
      </c>
      <c r="J27" s="172">
        <v>0.35</v>
      </c>
      <c r="K27" s="171"/>
      <c r="L27" s="171"/>
      <c r="M27" s="171"/>
      <c r="N27" s="171"/>
      <c r="O27" s="171"/>
      <c r="P27" s="171">
        <v>7382.34</v>
      </c>
      <c r="Q27" s="171">
        <v>0</v>
      </c>
      <c r="Y27" s="171">
        <v>291550.01</v>
      </c>
      <c r="Z27" s="171">
        <v>91435.02</v>
      </c>
      <c r="AA27" s="172">
        <v>0.35</v>
      </c>
      <c r="AB27" s="171"/>
      <c r="AC27" s="171"/>
      <c r="AD27" s="171"/>
      <c r="AE27" s="171"/>
      <c r="AF27" s="171"/>
      <c r="AG27" s="171">
        <v>7382.34</v>
      </c>
      <c r="AH27" s="171">
        <v>0</v>
      </c>
    </row>
    <row r="28" spans="2:34" ht="21.75" customHeight="1" thickBot="1" x14ac:dyDescent="0.3">
      <c r="B28" s="153" t="s">
        <v>198</v>
      </c>
      <c r="C28" s="186">
        <f>IF(C24&gt;C26,C24-C26,0)</f>
        <v>6079.3064479999994</v>
      </c>
      <c r="D28" s="155"/>
      <c r="E28" s="170"/>
      <c r="F28" s="155"/>
      <c r="H28" s="171"/>
      <c r="I28" s="171"/>
      <c r="J28" s="172"/>
      <c r="Y28" s="171"/>
      <c r="Z28" s="171"/>
      <c r="AA28" s="172"/>
    </row>
    <row r="29" spans="2:34" ht="20.25" customHeight="1" thickTop="1" thickBot="1" x14ac:dyDescent="0.3">
      <c r="C29" s="181"/>
      <c r="D29" s="155"/>
      <c r="E29" s="155"/>
      <c r="F29" s="155"/>
      <c r="H29" s="171"/>
      <c r="I29" s="171"/>
      <c r="J29" s="171"/>
      <c r="Y29" s="171"/>
      <c r="Z29" s="171"/>
      <c r="AA29" s="171"/>
    </row>
    <row r="30" spans="2:34" ht="20.25" customHeight="1" thickTop="1" thickBot="1" x14ac:dyDescent="0.3">
      <c r="B30" s="153" t="s">
        <v>199</v>
      </c>
      <c r="C30" s="187">
        <f>IF(C24&lt;C26,C26-C24,0)</f>
        <v>0</v>
      </c>
      <c r="D30" s="155"/>
      <c r="E30" s="155"/>
      <c r="F30" s="155"/>
      <c r="H30" s="171"/>
      <c r="I30" s="171"/>
      <c r="J30" s="171"/>
      <c r="Y30" s="171"/>
      <c r="Z30" s="171"/>
      <c r="AA30" s="171"/>
    </row>
    <row r="31" spans="2:34" ht="27.75" customHeight="1" thickBot="1" x14ac:dyDescent="0.3">
      <c r="B31" s="188" t="s">
        <v>200</v>
      </c>
      <c r="C31" s="189">
        <f>IF((C28/30.4*15)&gt;0,(C28/30.4*15),0)</f>
        <v>2999.657786842105</v>
      </c>
      <c r="D31" s="155"/>
      <c r="E31" s="155"/>
      <c r="F31" s="155"/>
    </row>
    <row r="32" spans="2:34" ht="20.25" customHeight="1" thickBot="1" x14ac:dyDescent="0.3">
      <c r="B32" s="188" t="s">
        <v>201</v>
      </c>
      <c r="C32" s="189">
        <f>IF((C30/30.4*15)&gt;0,(C30/30.4*15),0)</f>
        <v>0</v>
      </c>
      <c r="D32" s="155"/>
      <c r="E32" s="155"/>
      <c r="F32" s="155"/>
    </row>
    <row r="33" spans="2:6" ht="20.25" customHeight="1" x14ac:dyDescent="0.25">
      <c r="B33" s="56"/>
      <c r="C33" s="56"/>
      <c r="D33" s="155"/>
      <c r="E33" s="155"/>
      <c r="F33" s="155"/>
    </row>
    <row r="34" spans="2:6" ht="20.25" customHeight="1" x14ac:dyDescent="0.3">
      <c r="B34" s="190" t="s">
        <v>202</v>
      </c>
      <c r="C34" s="56"/>
      <c r="D34" s="155"/>
      <c r="E34" s="155"/>
      <c r="F34" s="155"/>
    </row>
    <row r="35" spans="2:6" ht="10.5" customHeight="1" x14ac:dyDescent="0.25">
      <c r="B35" s="138"/>
      <c r="C35" s="138"/>
      <c r="D35" s="138"/>
      <c r="E35" s="138"/>
      <c r="F35" s="138"/>
    </row>
    <row r="36" spans="2:6" ht="18" customHeight="1" x14ac:dyDescent="0.3">
      <c r="B36" s="191" t="s">
        <v>203</v>
      </c>
      <c r="C36" s="192"/>
      <c r="D36" s="138"/>
      <c r="E36" s="138"/>
      <c r="F36" s="138"/>
    </row>
    <row r="37" spans="2:6" ht="17.25" customHeight="1" x14ac:dyDescent="0.3">
      <c r="B37" s="191" t="s">
        <v>455</v>
      </c>
      <c r="C37" s="192"/>
      <c r="D37" s="138"/>
      <c r="E37" s="138"/>
      <c r="F37" s="138"/>
    </row>
    <row r="38" spans="2:6" ht="13.2" x14ac:dyDescent="0.25">
      <c r="B38" s="138"/>
      <c r="C38" s="138"/>
      <c r="D38" s="138"/>
      <c r="E38" s="138"/>
      <c r="F38" s="1"/>
    </row>
    <row r="39" spans="2:6" ht="13.2" x14ac:dyDescent="0.25">
      <c r="B39" s="138"/>
      <c r="C39" s="138"/>
      <c r="D39" s="138"/>
      <c r="E39" s="138"/>
      <c r="F39" s="193"/>
    </row>
    <row r="40" spans="2:6" ht="13.2" x14ac:dyDescent="0.25">
      <c r="B40" s="138"/>
      <c r="C40" s="138"/>
      <c r="D40" s="138"/>
      <c r="E40" s="138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2022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2022-01-13T20:40:24Z</cp:lastPrinted>
  <dcterms:created xsi:type="dcterms:W3CDTF">2000-05-05T04:08:27Z</dcterms:created>
  <dcterms:modified xsi:type="dcterms:W3CDTF">2022-02-21T18:57:23Z</dcterms:modified>
</cp:coreProperties>
</file>